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Петроградский" sheetId="1" r:id="rId1"/>
  </sheets>
  <definedNames>
    <definedName name="_1Excel_BuiltIn_Print_Area_2_1_1_1_1" localSheetId="0">"[$#ССЫЛ!.$#ССЫЛ!$#ССЫЛ!]"</definedName>
    <definedName name="_1Excel_BuiltIn_Print_Area_2_1_1_1_1">"[$#ССЫЛ!.$#ССЫЛ!$#ССЫЛ!]"</definedName>
    <definedName name="_4День_2_1_1_1_1_1" localSheetId="0">"([$#ССЫЛ!.$#ССЫЛ!$#ССЫЛ!];[$#ССЫЛ!.$#ССЫЛ!$#ССЫЛ!];[$#ССЫЛ!.$#ССЫЛ!$#ССЫЛ!])"</definedName>
    <definedName name="_4День_2_1_1_1_1_1">"([$#ССЫЛ!.$#ССЫЛ!$#ССЫЛ!];[$#ССЫЛ!.$#ССЫЛ!$#ССЫЛ!];[$#ССЫЛ!.$#ССЫЛ!$#ССЫЛ!])"</definedName>
    <definedName name="_xlnm._FilterDatabase" localSheetId="0" hidden="1">'Петроградский'!$A$16:$CU$315</definedName>
    <definedName name="Excel_BuiltIn__FilterDatabase" localSheetId="0">'Петроградский'!$A$16:$CU$315</definedName>
    <definedName name="Excel_BuiltIn__FilterDatabase_1" localSheetId="0">"[$#ССЫЛ!.$#ССЫЛ!$#ССЫЛ!]"</definedName>
    <definedName name="Excel_BuiltIn__FilterDatabase_1">"[$#ССЫЛ!.$#ССЫЛ!$#ССЫЛ!]"</definedName>
    <definedName name="Excel_BuiltIn__FilterDatabase_3" localSheetId="0">"[$#ССЫЛ!.$#ССЫЛ!$#ССЫЛ!]"</definedName>
    <definedName name="Excel_BuiltIn__FilterDatabase_3">"[$#ССЫЛ!.$#ССЫЛ!$#ССЫЛ!]"</definedName>
    <definedName name="Excel_BuiltIn__FilterDatabase_3_1" localSheetId="0">"[$#ССЫЛ!.$#ССЫЛ!$#ССЫЛ!]"</definedName>
    <definedName name="Excel_BuiltIn__FilterDatabase_3_1">"[$#ССЫЛ!.$#ССЫЛ!$#ССЫЛ!]"</definedName>
    <definedName name="Excel_BuiltIn_Database" localSheetId="0">"[$#ССЫЛ!.$#ССЫЛ!$#ССЫЛ!]"</definedName>
    <definedName name="Excel_BuiltIn_Database">"[$#ССЫЛ!.$#ССЫЛ!$#ССЫЛ!]"</definedName>
    <definedName name="Excel_BuiltIn_Database_1" localSheetId="0">"[$#ССЫЛ!.$#ССЫЛ!$#ССЫЛ!]"</definedName>
    <definedName name="Excel_BuiltIn_Database_1">"[$#ССЫЛ!.$#ССЫЛ!$#ССЫЛ!]"</definedName>
    <definedName name="Excel_BuiltIn_Database_1_1" localSheetId="0">"[$#ССЫЛ!.$#ССЫЛ!$#ССЫЛ!]"</definedName>
    <definedName name="Excel_BuiltIn_Database_1_1">"[$#ССЫЛ!.$#ССЫЛ!$#ССЫЛ!]"</definedName>
    <definedName name="Excel_BuiltIn_Database_1_1_1" localSheetId="0">"[$#ССЫЛ!.$#ССЫЛ!$#ССЫЛ!]"</definedName>
    <definedName name="Excel_BuiltIn_Database_1_1_1">"[$#ССЫЛ!.$#ССЫЛ!$#ССЫЛ!]"</definedName>
    <definedName name="Excel_BuiltIn_Database_1_1_1_1" localSheetId="0">"[$#ССЫЛ!.$#ССЫЛ!$#ССЫЛ!]"</definedName>
    <definedName name="Excel_BuiltIn_Database_1_1_1_1">"[$#ССЫЛ!.$#ССЫЛ!$#ССЫЛ!]"</definedName>
    <definedName name="Excel_BuiltIn_Database_1_1_1_1_2" localSheetId="0">"[$#ССЫЛ!.$#ССЫЛ!$#ССЫЛ!]"</definedName>
    <definedName name="Excel_BuiltIn_Database_1_1_1_1_2">"[$#ССЫЛ!.$#ССЫЛ!$#ССЫЛ!]"</definedName>
    <definedName name="Excel_BuiltIn_Database_1_1_1_1_3" localSheetId="0">"[$#ССЫЛ!.$#ССЫЛ!$#ССЫЛ!]"</definedName>
    <definedName name="Excel_BuiltIn_Database_1_1_1_1_3">"[$#ССЫЛ!.$#ССЫЛ!$#ССЫЛ!]"</definedName>
    <definedName name="Excel_BuiltIn_Database_1_1_1_1_4" localSheetId="0">"[$#ССЫЛ!.$#ССЫЛ!$#ССЫЛ!]"</definedName>
    <definedName name="Excel_BuiltIn_Database_1_1_1_1_4">"[$#ССЫЛ!.$#ССЫЛ!$#ССЫЛ!]"</definedName>
    <definedName name="Excel_BuiltIn_Database_1_1_1_2" localSheetId="0">"[$#ССЫЛ!.$#ССЫЛ!$#ССЫЛ!]"</definedName>
    <definedName name="Excel_BuiltIn_Database_1_1_1_2">"[$#ССЫЛ!.$#ССЫЛ!$#ССЫЛ!]"</definedName>
    <definedName name="Excel_BuiltIn_Database_1_1_1_3" localSheetId="0">"[$#ССЫЛ!.$#ССЫЛ!$#ССЫЛ!]"</definedName>
    <definedName name="Excel_BuiltIn_Database_1_1_1_3">"[$#ССЫЛ!.$#ССЫЛ!$#ССЫЛ!]"</definedName>
    <definedName name="Excel_BuiltIn_Database_1_1_1_4" localSheetId="0">"[$#ССЫЛ!.$#ССЫЛ!$#ССЫЛ!]"</definedName>
    <definedName name="Excel_BuiltIn_Database_1_1_1_4">"[$#ССЫЛ!.$#ССЫЛ!$#ССЫЛ!]"</definedName>
    <definedName name="Excel_BuiltIn_Database_2" localSheetId="0">"[$#ССЫЛ!.$#ССЫЛ!$#ССЫЛ!]"</definedName>
    <definedName name="Excel_BuiltIn_Database_2">"[$#ССЫЛ!.$#ССЫЛ!$#ССЫЛ!]"</definedName>
    <definedName name="Excel_BuiltIn_Database_2_1" localSheetId="0">"[$#ССЫЛ!.$#ССЫЛ!$#ССЫЛ!]"</definedName>
    <definedName name="Excel_BuiltIn_Database_2_1">"[$#ССЫЛ!.$#ССЫЛ!$#ССЫЛ!]"</definedName>
    <definedName name="Excel_BuiltIn_Database_2_1_1" localSheetId="0">"[$#ССЫЛ!.$#ССЫЛ!$#ССЫЛ!]"</definedName>
    <definedName name="Excel_BuiltIn_Database_2_1_1">"[$#ССЫЛ!.$#ССЫЛ!$#ССЫЛ!]"</definedName>
    <definedName name="Excel_BuiltIn_Database_2_2" localSheetId="0">"[$#ССЫЛ!.$#ССЫЛ!$#ССЫЛ!]"</definedName>
    <definedName name="Excel_BuiltIn_Database_2_2">"[$#ССЫЛ!.$#ССЫЛ!$#ССЫЛ!]"</definedName>
    <definedName name="Excel_BuiltIn_Database_3" localSheetId="0">"[$#ССЫЛ!.$#ССЫЛ!$#ССЫЛ!]"</definedName>
    <definedName name="Excel_BuiltIn_Database_3">"[$#ССЫЛ!.$#ССЫЛ!$#ССЫЛ!]"</definedName>
    <definedName name="Excel_BuiltIn_Database_3_1" localSheetId="0">"[$#ССЫЛ!.$#ССЫЛ!$#ССЫЛ!]"</definedName>
    <definedName name="Excel_BuiltIn_Database_3_1">"[$#ССЫЛ!.$#ССЫЛ!$#ССЫЛ!]"</definedName>
    <definedName name="Excel_BuiltIn_Database_3_1_1" localSheetId="0">"[$#ССЫЛ!.$#ССЫЛ!$#ССЫЛ!]"</definedName>
    <definedName name="Excel_BuiltIn_Database_3_1_1">"[$#ССЫЛ!.$#ССЫЛ!$#ССЫЛ!]"</definedName>
    <definedName name="Excel_BuiltIn_Database_3_1_2" localSheetId="0">"[$#ССЫЛ!.$#ССЫЛ!$#ССЫЛ!]"</definedName>
    <definedName name="Excel_BuiltIn_Database_3_1_2">"[$#ССЫЛ!.$#ССЫЛ!$#ССЫЛ!]"</definedName>
    <definedName name="Excel_BuiltIn_Database_3_1_3" localSheetId="0">"[$#ССЫЛ!.$#ССЫЛ!$#ССЫЛ!]"</definedName>
    <definedName name="Excel_BuiltIn_Database_3_1_3">"[$#ССЫЛ!.$#ССЫЛ!$#ССЫЛ!]"</definedName>
    <definedName name="Excel_BuiltIn_Database_3_1_4" localSheetId="0">"[$#ССЫЛ!.$#ССЫЛ!$#ССЫЛ!]"</definedName>
    <definedName name="Excel_BuiltIn_Database_3_1_4">"[$#ССЫЛ!.$#ССЫЛ!$#ССЫЛ!]"</definedName>
    <definedName name="Excel_BuiltIn_Database_3_2" localSheetId="0">"[$#ССЫЛ!.$#ССЫЛ!$#ССЫЛ!]"</definedName>
    <definedName name="Excel_BuiltIn_Database_3_2">"[$#ССЫЛ!.$#ССЫЛ!$#ССЫЛ!]"</definedName>
    <definedName name="Excel_BuiltIn_Database_3_3" localSheetId="0">"[$#ССЫЛ!.$#ССЫЛ!$#ССЫЛ!]"</definedName>
    <definedName name="Excel_BuiltIn_Database_3_3">"[$#ССЫЛ!.$#ССЫЛ!$#ССЫЛ!]"</definedName>
    <definedName name="Excel_BuiltIn_Database_3_4" localSheetId="0">"[$#ССЫЛ!.$#ССЫЛ!$#ССЫЛ!]"</definedName>
    <definedName name="Excel_BuiltIn_Database_3_4">"[$#ССЫЛ!.$#ССЫЛ!$#ССЫЛ!]"</definedName>
    <definedName name="Excel_BuiltIn_Database_4" localSheetId="0">"[$#ССЫЛ!.$#ССЫЛ!$#ССЫЛ!]"</definedName>
    <definedName name="Excel_BuiltIn_Database_4">"[$#ССЫЛ!.$#ССЫЛ!$#ССЫЛ!]"</definedName>
    <definedName name="Excel_BuiltIn_Print_Area_1_1" localSheetId="0">"[$#ССЫЛ!.$#ССЫЛ!$#ССЫЛ!]"</definedName>
    <definedName name="Excel_BuiltIn_Print_Area_1_1">"[$#ССЫЛ!.$#ССЫЛ!$#ССЫЛ!]"</definedName>
    <definedName name="Excel_BuiltIn_Print_Area_1_1_1" localSheetId="0">"[$#ССЫЛ!.$#ССЫЛ!$#ССЫЛ!]"</definedName>
    <definedName name="Excel_BuiltIn_Print_Area_1_1_1">"[$#ССЫЛ!.$#ССЫЛ!$#ССЫЛ!]"</definedName>
    <definedName name="Excel_BuiltIn_Print_Area_1_1_1_1" localSheetId="0">"[$#ССЫЛ!.$#ССЫЛ!$#ССЫЛ!]"</definedName>
    <definedName name="Excel_BuiltIn_Print_Area_1_1_1_1">"[$#ССЫЛ!.$#ССЫЛ!$#ССЫЛ!]"</definedName>
    <definedName name="Excel_BuiltIn_Print_Area_1_1_1_1_1" localSheetId="0">'Петроградский'!$A$9:$S$308</definedName>
    <definedName name="Excel_BuiltIn_Print_Area_1_1_1_1_1">"[$#ССЫЛ!.$A$5:.$O$288]"</definedName>
    <definedName name="Excel_BuiltIn_Print_Area_1_1_1_1_1_1" localSheetId="0">"[$#ССЫЛ!.$#ССЫЛ!$#ССЫЛ!]"</definedName>
    <definedName name="Excel_BuiltIn_Print_Area_1_1_1_1_1_1">"[$#ССЫЛ!.$#ССЫЛ!$#ССЫЛ!]"</definedName>
    <definedName name="Excel_BuiltIn_Print_Area_1_1_1_1_1_1_1" localSheetId="0">"[$#ССЫЛ!.$#ССЫЛ!$#ССЫЛ!]"</definedName>
    <definedName name="Excel_BuiltIn_Print_Area_1_1_1_1_1_1_1">"[$#ССЫЛ!.$#ССЫЛ!$#ССЫЛ!]"</definedName>
    <definedName name="Excel_BuiltIn_Print_Area_1_1_1_1_1_2" localSheetId="0">"[$#ССЫЛ!.$#ССЫЛ!$#ССЫЛ!]"</definedName>
    <definedName name="Excel_BuiltIn_Print_Area_1_1_1_1_1_2">"[$#ССЫЛ!.$#ССЫЛ!$#ССЫЛ!]"</definedName>
    <definedName name="Excel_BuiltIn_Print_Area_1_1_1_1_1_3" localSheetId="0">"[$#ССЫЛ!.$#ССЫЛ!$#ССЫЛ!]"</definedName>
    <definedName name="Excel_BuiltIn_Print_Area_1_1_1_1_1_3">"[$#ССЫЛ!.$#ССЫЛ!$#ССЫЛ!]"</definedName>
    <definedName name="Excel_BuiltIn_Print_Area_1_1_1_1_1_4" localSheetId="0">"[$#ССЫЛ!.$#ССЫЛ!$#ССЫЛ!]"</definedName>
    <definedName name="Excel_BuiltIn_Print_Area_1_1_1_1_1_4">"[$#ССЫЛ!.$#ССЫЛ!$#ССЫЛ!]"</definedName>
    <definedName name="Excel_BuiltIn_Print_Area_1_1_1_2" localSheetId="0">"[$#ССЫЛ!.$#ССЫЛ!$#ССЫЛ!]"</definedName>
    <definedName name="Excel_BuiltIn_Print_Area_1_1_1_2">"[$#ССЫЛ!.$#ССЫЛ!$#ССЫЛ!]"</definedName>
    <definedName name="Excel_BuiltIn_Print_Area_1_1_1_3" localSheetId="0">"[$#ССЫЛ!.$#ССЫЛ!$#ССЫЛ!]"</definedName>
    <definedName name="Excel_BuiltIn_Print_Area_1_1_1_3">"[$#ССЫЛ!.$#ССЫЛ!$#ССЫЛ!]"</definedName>
    <definedName name="Excel_BuiltIn_Print_Area_1_1_2" localSheetId="0">"[$#ССЫЛ!.$#ССЫЛ!$#ССЫЛ!]"</definedName>
    <definedName name="Excel_BuiltIn_Print_Area_1_1_2">"[$#ССЫЛ!.$#ССЫЛ!$#ССЫЛ!]"</definedName>
    <definedName name="Excel_BuiltIn_Print_Area_1_1_2_1" localSheetId="0">"[$#ССЫЛ!.$#ССЫЛ!$#ССЫЛ!]"</definedName>
    <definedName name="Excel_BuiltIn_Print_Area_1_1_2_1">"[$#ССЫЛ!.$#ССЫЛ!$#ССЫЛ!]"</definedName>
    <definedName name="Excel_BuiltIn_Print_Area_1_1_2_2" localSheetId="0">"[$#ССЫЛ!.$#ССЫЛ!$#ССЫЛ!]"</definedName>
    <definedName name="Excel_BuiltIn_Print_Area_1_1_2_2">"[$#ССЫЛ!.$#ССЫЛ!$#ССЫЛ!]"</definedName>
    <definedName name="Excel_BuiltIn_Print_Area_1_1_3" localSheetId="0">"[$#ССЫЛ!.$#ССЫЛ!$#ССЫЛ!]"</definedName>
    <definedName name="Excel_BuiltIn_Print_Area_1_1_3">"[$#ССЫЛ!.$#ССЫЛ!$#ССЫЛ!]"</definedName>
    <definedName name="Excel_BuiltIn_Print_Area_2_1" localSheetId="0">"[$#ССЫЛ!.$#ССЫЛ!$#ССЫЛ!]"</definedName>
    <definedName name="Excel_BuiltIn_Print_Area_2_1">"[$#ССЫЛ!.$#ССЫЛ!$#ССЫЛ!]"</definedName>
    <definedName name="Excel_BuiltIn_Print_Area_2_1_1" localSheetId="0">"[$#ССЫЛ!.$#ССЫЛ!$#ССЫЛ!]"</definedName>
    <definedName name="Excel_BuiltIn_Print_Area_2_1_1">"[$#ССЫЛ!.$#ССЫЛ!$#ССЫЛ!]"</definedName>
    <definedName name="Excel_BuiltIn_Print_Area_2_1_1_1" localSheetId="0">"[$#ССЫЛ!.$#ССЫЛ!$#ССЫЛ!]"</definedName>
    <definedName name="Excel_BuiltIn_Print_Area_2_1_1_1">"[$#ССЫЛ!.$#ССЫЛ!$#ССЫЛ!]"</definedName>
    <definedName name="Excel_BuiltIn_Print_Area_2_1_2" localSheetId="0">"[$#ССЫЛ!.$#ССЫЛ!$#ССЫЛ!]"</definedName>
    <definedName name="Excel_BuiltIn_Print_Area_2_1_2">"[$#ССЫЛ!.$#ССЫЛ!$#ССЫЛ!]"</definedName>
    <definedName name="Excel_BuiltIn_Print_Area_2_2" localSheetId="0">"[$#ССЫЛ!.$#ССЫЛ!$#ССЫЛ!]"</definedName>
    <definedName name="Excel_BuiltIn_Print_Area_2_2">"[$#ССЫЛ!.$#ССЫЛ!$#ССЫЛ!]"</definedName>
    <definedName name="Excel_BuiltIn_Print_Area_2_2_1" localSheetId="0">"[$#ССЫЛ!.$#ССЫЛ!$#ССЫЛ!]"</definedName>
    <definedName name="Excel_BuiltIn_Print_Area_2_2_1">"[$#ССЫЛ!.$#ССЫЛ!$#ССЫЛ!]"</definedName>
    <definedName name="Excel_BuiltIn_Print_Area_2_2_2" localSheetId="0">"[$#ССЫЛ!.$#ССЫЛ!$#ССЫЛ!]"</definedName>
    <definedName name="Excel_BuiltIn_Print_Area_2_2_2">"[$#ССЫЛ!.$#ССЫЛ!$#ССЫЛ!]"</definedName>
    <definedName name="Excel_BuiltIn_Print_Area_2_3" localSheetId="0">"[$#ССЫЛ!.$#ССЫЛ!$#ССЫЛ!]"</definedName>
    <definedName name="Excel_BuiltIn_Print_Area_2_3">"[$#ССЫЛ!.$#ССЫЛ!$#ССЫЛ!]"</definedName>
    <definedName name="Excel_BuiltIn_Print_Area_2_3_1" localSheetId="0">"[$#ССЫЛ!.$#ССЫЛ!$#ССЫЛ!]"</definedName>
    <definedName name="Excel_BuiltIn_Print_Area_2_3_1">"[$#ССЫЛ!.$#ССЫЛ!$#ССЫЛ!]"</definedName>
    <definedName name="Excel_BuiltIn_Print_Area_2_3_1_2" localSheetId="0">"[$#ССЫЛ!.$#ССЫЛ!$#ССЫЛ!]"</definedName>
    <definedName name="Excel_BuiltIn_Print_Area_2_3_1_2">"[$#ССЫЛ!.$#ССЫЛ!$#ССЫЛ!]"</definedName>
    <definedName name="Excel_BuiltIn_Print_Area_2_3_1_3" localSheetId="0">"[$#ССЫЛ!.$#ССЫЛ!$#ССЫЛ!]"</definedName>
    <definedName name="Excel_BuiltIn_Print_Area_2_3_1_3">"[$#ССЫЛ!.$#ССЫЛ!$#ССЫЛ!]"</definedName>
    <definedName name="Excel_BuiltIn_Print_Area_2_3_1_4" localSheetId="0">"[$#ССЫЛ!.$#ССЫЛ!$#ССЫЛ!]"</definedName>
    <definedName name="Excel_BuiltIn_Print_Area_2_3_1_4">"[$#ССЫЛ!.$#ССЫЛ!$#ССЫЛ!]"</definedName>
    <definedName name="Excel_BuiltIn_Print_Area_2_3_2" localSheetId="0">"[$#ССЫЛ!.$#ССЫЛ!$#ССЫЛ!]"</definedName>
    <definedName name="Excel_BuiltIn_Print_Area_2_3_2">"[$#ССЫЛ!.$#ССЫЛ!$#ССЫЛ!]"</definedName>
    <definedName name="Excel_BuiltIn_Print_Area_2_3_3" localSheetId="0">"[$#ССЫЛ!.$#ССЫЛ!$#ССЫЛ!]"</definedName>
    <definedName name="Excel_BuiltIn_Print_Area_2_3_3">"[$#ССЫЛ!.$#ССЫЛ!$#ССЫЛ!]"</definedName>
    <definedName name="Excel_BuiltIn_Print_Area_2_3_4" localSheetId="0">"[$#ССЫЛ!.$#ССЫЛ!$#ССЫЛ!]"</definedName>
    <definedName name="Excel_BuiltIn_Print_Area_2_3_4">"[$#ССЫЛ!.$#ССЫЛ!$#ССЫЛ!]"</definedName>
    <definedName name="Excel_BuiltIn_Print_Area_3_1" localSheetId="0">"[$#ССЫЛ!.$#ССЫЛ!$#ССЫЛ!]"</definedName>
    <definedName name="Excel_BuiltIn_Print_Area_3_1">"[$#ССЫЛ!.$#ССЫЛ!$#ССЫЛ!]"</definedName>
    <definedName name="Excel_BuiltIn_Print_Area_3_1_1" localSheetId="0">"[$#ССЫЛ!.$#ССЫЛ!$#ССЫЛ!]"</definedName>
    <definedName name="Excel_BuiltIn_Print_Area_3_1_1">"[$#ССЫЛ!.$#ССЫЛ!$#ССЫЛ!]"</definedName>
    <definedName name="Excel_BuiltIn_Print_Area_3_1_1_1" localSheetId="0">"[$#ССЫЛ!.$#ССЫЛ!$#ССЫЛ!]"</definedName>
    <definedName name="Excel_BuiltIn_Print_Area_3_1_1_1">"[$#ССЫЛ!.$#ССЫЛ!$#ССЫЛ!]"</definedName>
    <definedName name="Excel_BuiltIn_Print_Area_3_2" localSheetId="0">"[$#ССЫЛ!.$#ССЫЛ!$#ССЫЛ!]"</definedName>
    <definedName name="Excel_BuiltIn_Print_Area_3_2">"[$#ССЫЛ!.$#ССЫЛ!$#ССЫЛ!]"</definedName>
    <definedName name="Excel_BuiltIn_Print_Area_3_2_1" localSheetId="0">"[$#ССЫЛ!.$#ССЫЛ!$#ССЫЛ!]"</definedName>
    <definedName name="Excel_BuiltIn_Print_Area_3_2_1">"[$#ССЫЛ!.$#ССЫЛ!$#ССЫЛ!]"</definedName>
    <definedName name="Excel_BuiltIn_Print_Area_3_2_2" localSheetId="0">"[$#ССЫЛ!.$#ССЫЛ!$#ССЫЛ!]"</definedName>
    <definedName name="Excel_BuiltIn_Print_Area_3_2_2">"[$#ССЫЛ!.$#ССЫЛ!$#ССЫЛ!]"</definedName>
    <definedName name="Excel_BuiltIn_Print_Area_3_3" localSheetId="0">"[$#ССЫЛ!.$#ССЫЛ!$#ССЫЛ!]"</definedName>
    <definedName name="Excel_BuiltIn_Print_Area_3_3">"[$#ССЫЛ!.$#ССЫЛ!$#ССЫЛ!]"</definedName>
    <definedName name="Excel_BuiltIn_Print_Area_3_3_1" localSheetId="0">"[$#ССЫЛ!.$#ССЫЛ!$#ССЫЛ!]"</definedName>
    <definedName name="Excel_BuiltIn_Print_Area_3_3_1">"[$#ССЫЛ!.$#ССЫЛ!$#ССЫЛ!]"</definedName>
    <definedName name="Excel_BuiltIn_Print_Area_3_3_1_2" localSheetId="0">"[$#ССЫЛ!.$#ССЫЛ!$#ССЫЛ!]"</definedName>
    <definedName name="Excel_BuiltIn_Print_Area_3_3_1_2">"[$#ССЫЛ!.$#ССЫЛ!$#ССЫЛ!]"</definedName>
    <definedName name="Excel_BuiltIn_Print_Area_3_3_1_3" localSheetId="0">"[$#ССЫЛ!.$#ССЫЛ!$#ССЫЛ!]"</definedName>
    <definedName name="Excel_BuiltIn_Print_Area_3_3_1_3">"[$#ССЫЛ!.$#ССЫЛ!$#ССЫЛ!]"</definedName>
    <definedName name="Excel_BuiltIn_Print_Area_3_3_1_4" localSheetId="0">"[$#ССЫЛ!.$#ССЫЛ!$#ССЫЛ!]"</definedName>
    <definedName name="Excel_BuiltIn_Print_Area_3_3_1_4">"[$#ССЫЛ!.$#ССЫЛ!$#ССЫЛ!]"</definedName>
    <definedName name="Excel_BuiltIn_Print_Area_3_3_2" localSheetId="0">"[$#ССЫЛ!.$#ССЫЛ!$#ССЫЛ!]"</definedName>
    <definedName name="Excel_BuiltIn_Print_Area_3_3_2">"[$#ССЫЛ!.$#ССЫЛ!$#ССЫЛ!]"</definedName>
    <definedName name="Excel_BuiltIn_Print_Area_3_3_3" localSheetId="0">"[$#ССЫЛ!.$#ССЫЛ!$#ССЫЛ!]"</definedName>
    <definedName name="Excel_BuiltIn_Print_Area_3_3_3">"[$#ССЫЛ!.$#ССЫЛ!$#ССЫЛ!]"</definedName>
    <definedName name="Excel_BuiltIn_Print_Area_3_3_4" localSheetId="0">"[$#ССЫЛ!.$#ССЫЛ!$#ССЫЛ!]"</definedName>
    <definedName name="Excel_BuiltIn_Print_Area_3_3_4">"[$#ССЫЛ!.$#ССЫЛ!$#ССЫЛ!]"</definedName>
    <definedName name="Excel_BuiltIn_Print_Area_4_1" localSheetId="0">"[$#ССЫЛ!.$#ССЫЛ!$#ССЫЛ!]"</definedName>
    <definedName name="Excel_BuiltIn_Print_Area_4_1">"[$#ССЫЛ!.$#ССЫЛ!$#ССЫЛ!]"</definedName>
    <definedName name="Excel_BuiltIn_Print_Area_4_2" localSheetId="0">"[$#ССЫЛ!.$#ССЫЛ!$#ССЫЛ!]"</definedName>
    <definedName name="Excel_BuiltIn_Print_Area_4_2">"[$#ССЫЛ!.$#ССЫЛ!$#ССЫЛ!]"</definedName>
    <definedName name="Excel_BuiltIn_Print_Area_4_2_1" localSheetId="0">"[$#ССЫЛ!.$#ССЫЛ!$#ССЫЛ!]"</definedName>
    <definedName name="Excel_BuiltIn_Print_Area_4_2_1">"[$#ССЫЛ!.$#ССЫЛ!$#ССЫЛ!]"</definedName>
    <definedName name="Excel_BuiltIn_Print_Area_4_2_2" localSheetId="0">"[$#ССЫЛ!.$#ССЫЛ!$#ССЫЛ!]"</definedName>
    <definedName name="Excel_BuiltIn_Print_Area_4_2_2">"[$#ССЫЛ!.$#ССЫЛ!$#ССЫЛ!]"</definedName>
    <definedName name="Excel_BuiltIn_Print_Area_4_3" localSheetId="0">"[$#ССЫЛ!.$#ССЫЛ!$#ССЫЛ!]"</definedName>
    <definedName name="Excel_BuiltIn_Print_Area_4_3">"[$#ССЫЛ!.$#ССЫЛ!$#ССЫЛ!]"</definedName>
    <definedName name="Excel_BuiltIn_Print_Area_4_3_1" localSheetId="0">"[$#ССЫЛ!.$#ССЫЛ!$#ССЫЛ!]"</definedName>
    <definedName name="Excel_BuiltIn_Print_Area_4_3_1">"[$#ССЫЛ!.$#ССЫЛ!$#ССЫЛ!]"</definedName>
    <definedName name="Excel_BuiltIn_Print_Area_4_3_1_2" localSheetId="0">"[$#ССЫЛ!.$#ССЫЛ!$#ССЫЛ!]"</definedName>
    <definedName name="Excel_BuiltIn_Print_Area_4_3_1_2">"[$#ССЫЛ!.$#ССЫЛ!$#ССЫЛ!]"</definedName>
    <definedName name="Excel_BuiltIn_Print_Area_4_3_1_3" localSheetId="0">"[$#ССЫЛ!.$#ССЫЛ!$#ССЫЛ!]"</definedName>
    <definedName name="Excel_BuiltIn_Print_Area_4_3_1_3">"[$#ССЫЛ!.$#ССЫЛ!$#ССЫЛ!]"</definedName>
    <definedName name="Excel_BuiltIn_Print_Area_4_3_1_4" localSheetId="0">"[$#ССЫЛ!.$#ССЫЛ!$#ССЫЛ!]"</definedName>
    <definedName name="Excel_BuiltIn_Print_Area_4_3_1_4">"[$#ССЫЛ!.$#ССЫЛ!$#ССЫЛ!]"</definedName>
    <definedName name="Excel_BuiltIn_Print_Area_4_3_2" localSheetId="0">"[$#ССЫЛ!.$#ССЫЛ!$#ССЫЛ!]"</definedName>
    <definedName name="Excel_BuiltIn_Print_Area_4_3_2">"[$#ССЫЛ!.$#ССЫЛ!$#ССЫЛ!]"</definedName>
    <definedName name="Excel_BuiltIn_Print_Area_4_3_3" localSheetId="0">"[$#ССЫЛ!.$#ССЫЛ!$#ССЫЛ!]"</definedName>
    <definedName name="Excel_BuiltIn_Print_Area_4_3_3">"[$#ССЫЛ!.$#ССЫЛ!$#ССЫЛ!]"</definedName>
    <definedName name="Excel_BuiltIn_Print_Area_4_3_4" localSheetId="0">"[$#ССЫЛ!.$#ССЫЛ!$#ССЫЛ!]"</definedName>
    <definedName name="Excel_BuiltIn_Print_Area_4_3_4">"[$#ССЫЛ!.$#ССЫЛ!$#ССЫЛ!]"</definedName>
    <definedName name="Excel_BuiltIn_Print_Titles_1_1" localSheetId="0">"[$#ССЫЛ!.$#ССЫЛ!$#ССЫЛ!]"</definedName>
    <definedName name="Excel_BuiltIn_Print_Titles_1_1">"[$#ССЫЛ!.$#ССЫЛ!$#ССЫЛ!]"</definedName>
    <definedName name="Excel_BuiltIn_Print_Titles_1_1_1" localSheetId="0">"[$#ССЫЛ!.$#ССЫЛ!$#ССЫЛ!]"</definedName>
    <definedName name="Excel_BuiltIn_Print_Titles_1_1_1">"[$#ССЫЛ!.$#ССЫЛ!$#ССЫЛ!]"</definedName>
    <definedName name="Excel_BuiltIn_Print_Titles_2_1" localSheetId="0">"[$#ССЫЛ!.$#ССЫЛ!$#ССЫЛ!]"</definedName>
    <definedName name="Excel_BuiltIn_Print_Titles_2_1">"[$#ССЫЛ!.$#ССЫЛ!$#ССЫЛ!]"</definedName>
    <definedName name="Excel_BuiltIn_Print_Titles_2_1_1" localSheetId="0">"[$#ССЫЛ!.$#ССЫЛ!$#ССЫЛ!]"</definedName>
    <definedName name="Excel_BuiltIn_Print_Titles_2_1_1">"[$#ССЫЛ!.$#ССЫЛ!$#ССЫЛ!]"</definedName>
    <definedName name="Excel_BuiltIn_Print_Titles_2_1_1_1" localSheetId="0">"[$#ССЫЛ!.$#ССЫЛ!$#ССЫЛ!]"</definedName>
    <definedName name="Excel_BuiltIn_Print_Titles_2_1_1_1">"[$#ССЫЛ!.$#ССЫЛ!$#ССЫЛ!]"</definedName>
    <definedName name="Excel_BuiltIn_Print_Titles_2_2" localSheetId="0">"[$#ССЫЛ!.$#ССЫЛ!$#ССЫЛ!]"</definedName>
    <definedName name="Excel_BuiltIn_Print_Titles_2_2">"[$#ССЫЛ!.$#ССЫЛ!$#ССЫЛ!]"</definedName>
    <definedName name="Excel_BuiltIn_Print_Titles_2_2_1" localSheetId="0">"[$#ССЫЛ!.$#ССЫЛ!$#ССЫЛ!]"</definedName>
    <definedName name="Excel_BuiltIn_Print_Titles_2_2_1">"[$#ССЫЛ!.$#ССЫЛ!$#ССЫЛ!]"</definedName>
    <definedName name="Excel_BuiltIn_Print_Titles_2_3" localSheetId="0">"[$#ССЫЛ!.$#ССЫЛ!$#ССЫЛ!]"</definedName>
    <definedName name="Excel_BuiltIn_Print_Titles_2_3">"[$#ССЫЛ!.$#ССЫЛ!$#ССЫЛ!]"</definedName>
    <definedName name="Excel_BuiltIn_Print_Titles_2_3_1" localSheetId="0">"[$#ССЫЛ!.$#ССЫЛ!$#ССЫЛ!]"</definedName>
    <definedName name="Excel_BuiltIn_Print_Titles_2_3_1">"[$#ССЫЛ!.$#ССЫЛ!$#ССЫЛ!]"</definedName>
    <definedName name="Excel_BuiltIn_Print_Titles_2_3_1_2" localSheetId="0">"[$#ССЫЛ!.$#ССЫЛ!$#ССЫЛ!]"</definedName>
    <definedName name="Excel_BuiltIn_Print_Titles_2_3_1_2">"[$#ССЫЛ!.$#ССЫЛ!$#ССЫЛ!]"</definedName>
    <definedName name="Excel_BuiltIn_Print_Titles_2_3_1_3" localSheetId="0">"[$#ССЫЛ!.$#ССЫЛ!$#ССЫЛ!]"</definedName>
    <definedName name="Excel_BuiltIn_Print_Titles_2_3_1_3">"[$#ССЫЛ!.$#ССЫЛ!$#ССЫЛ!]"</definedName>
    <definedName name="Excel_BuiltIn_Print_Titles_2_3_1_4" localSheetId="0">"[$#ССЫЛ!.$#ССЫЛ!$#ССЫЛ!]"</definedName>
    <definedName name="Excel_BuiltIn_Print_Titles_2_3_1_4">"[$#ССЫЛ!.$#ССЫЛ!$#ССЫЛ!]"</definedName>
    <definedName name="Excel_BuiltIn_Print_Titles_2_3_2" localSheetId="0">"[$#ССЫЛ!.$#ССЫЛ!$#ССЫЛ!]"</definedName>
    <definedName name="Excel_BuiltIn_Print_Titles_2_3_2">"[$#ССЫЛ!.$#ССЫЛ!$#ССЫЛ!]"</definedName>
    <definedName name="Excel_BuiltIn_Print_Titles_2_3_3" localSheetId="0">"[$#ССЫЛ!.$#ССЫЛ!$#ССЫЛ!]"</definedName>
    <definedName name="Excel_BuiltIn_Print_Titles_2_3_3">"[$#ССЫЛ!.$#ССЫЛ!$#ССЫЛ!]"</definedName>
    <definedName name="Excel_BuiltIn_Print_Titles_2_3_4" localSheetId="0">"[$#ССЫЛ!.$#ССЫЛ!$#ССЫЛ!]"</definedName>
    <definedName name="Excel_BuiltIn_Print_Titles_2_3_4">"[$#ССЫЛ!.$#ССЫЛ!$#ССЫЛ!]"</definedName>
    <definedName name="Excel_BuiltIn_Print_Titles_3_1" localSheetId="0">"[$#ССЫЛ!.$#ССЫЛ!$#ССЫЛ!]"</definedName>
    <definedName name="Excel_BuiltIn_Print_Titles_3_1">"[$#ССЫЛ!.$#ССЫЛ!$#ССЫЛ!]"</definedName>
    <definedName name="Excel_BuiltIn_Print_Titles_3_1_1" localSheetId="0">"[$#ССЫЛ!.$#ССЫЛ!$#ССЫЛ!]"</definedName>
    <definedName name="Excel_BuiltIn_Print_Titles_3_1_1">"[$#ССЫЛ!.$#ССЫЛ!$#ССЫЛ!]"</definedName>
    <definedName name="Excel_BuiltIn_Print_Titles_3_1_1_1" localSheetId="0">"[$#ССЫЛ!.$#ССЫЛ!$#ССЫЛ!]"</definedName>
    <definedName name="Excel_BuiltIn_Print_Titles_3_1_1_1">"[$#ССЫЛ!.$#ССЫЛ!$#ССЫЛ!]"</definedName>
    <definedName name="Excel_BuiltIn_Print_Titles_3_2" localSheetId="0">"[$#ССЫЛ!.$#ССЫЛ!$#ССЫЛ!]"</definedName>
    <definedName name="Excel_BuiltIn_Print_Titles_3_2">"[$#ССЫЛ!.$#ССЫЛ!$#ССЫЛ!]"</definedName>
    <definedName name="Excel_BuiltIn_Print_Titles_3_2_1" localSheetId="0">"[$#ССЫЛ!.$#ССЫЛ!$#ССЫЛ!]"</definedName>
    <definedName name="Excel_BuiltIn_Print_Titles_3_2_1">"[$#ССЫЛ!.$#ССЫЛ!$#ССЫЛ!]"</definedName>
    <definedName name="Excel_BuiltIn_Print_Titles_3_3" localSheetId="0">"[$#ССЫЛ!.$#ССЫЛ!$#ССЫЛ!]"</definedName>
    <definedName name="Excel_BuiltIn_Print_Titles_3_3">"[$#ССЫЛ!.$#ССЫЛ!$#ССЫЛ!]"</definedName>
    <definedName name="Excel_BuiltIn_Print_Titles_3_3_1" localSheetId="0">"[$#ССЫЛ!.$#ССЫЛ!$#ССЫЛ!]"</definedName>
    <definedName name="Excel_BuiltIn_Print_Titles_3_3_1">"[$#ССЫЛ!.$#ССЫЛ!$#ССЫЛ!]"</definedName>
    <definedName name="Excel_BuiltIn_Print_Titles_3_3_1_2" localSheetId="0">"[$#ССЫЛ!.$#ССЫЛ!$#ССЫЛ!]"</definedName>
    <definedName name="Excel_BuiltIn_Print_Titles_3_3_1_2">"[$#ССЫЛ!.$#ССЫЛ!$#ССЫЛ!]"</definedName>
    <definedName name="Excel_BuiltIn_Print_Titles_3_3_1_3" localSheetId="0">"[$#ССЫЛ!.$#ССЫЛ!$#ССЫЛ!]"</definedName>
    <definedName name="Excel_BuiltIn_Print_Titles_3_3_1_3">"[$#ССЫЛ!.$#ССЫЛ!$#ССЫЛ!]"</definedName>
    <definedName name="Excel_BuiltIn_Print_Titles_3_3_1_4" localSheetId="0">"[$#ССЫЛ!.$#ССЫЛ!$#ССЫЛ!]"</definedName>
    <definedName name="Excel_BuiltIn_Print_Titles_3_3_1_4">"[$#ССЫЛ!.$#ССЫЛ!$#ССЫЛ!]"</definedName>
    <definedName name="Excel_BuiltIn_Print_Titles_3_3_2" localSheetId="0">"[$#ССЫЛ!.$#ССЫЛ!$#ССЫЛ!]"</definedName>
    <definedName name="Excel_BuiltIn_Print_Titles_3_3_2">"[$#ССЫЛ!.$#ССЫЛ!$#ССЫЛ!]"</definedName>
    <definedName name="Excel_BuiltIn_Print_Titles_3_3_3" localSheetId="0">"[$#ССЫЛ!.$#ССЫЛ!$#ССЫЛ!]"</definedName>
    <definedName name="Excel_BuiltIn_Print_Titles_3_3_3">"[$#ССЫЛ!.$#ССЫЛ!$#ССЫЛ!]"</definedName>
    <definedName name="Excel_BuiltIn_Print_Titles_3_3_4" localSheetId="0">"[$#ССЫЛ!.$#ССЫЛ!$#ССЫЛ!]"</definedName>
    <definedName name="Excel_BuiltIn_Print_Titles_3_3_4">"[$#ССЫЛ!.$#ССЫЛ!$#ССЫЛ!]"</definedName>
    <definedName name="Excel_BuiltIn_Print_Titles_4_1" localSheetId="0">"[$#ССЫЛ!.$#ССЫЛ!$#ССЫЛ!]"</definedName>
    <definedName name="Excel_BuiltIn_Print_Titles_4_1">"[$#ССЫЛ!.$#ССЫЛ!$#ССЫЛ!]"</definedName>
    <definedName name="Excel_BuiltIn_Print_Titles_4_2" localSheetId="0">"[$#ССЫЛ!.$#ССЫЛ!$#ССЫЛ!]"</definedName>
    <definedName name="Excel_BuiltIn_Print_Titles_4_2">"[$#ССЫЛ!.$#ССЫЛ!$#ССЫЛ!]"</definedName>
    <definedName name="Excel_BuiltIn_Print_Titles_4_3" localSheetId="0">"[$#ССЫЛ!.$#ССЫЛ!$#ССЫЛ!]"</definedName>
    <definedName name="Excel_BuiltIn_Print_Titles_4_3">"[$#ССЫЛ!.$#ССЫЛ!$#ССЫЛ!]"</definedName>
    <definedName name="Excel_BuiltIn_Print_Titles_4_3_1" localSheetId="0">"[$#ССЫЛ!.$#ССЫЛ!$#ССЫЛ!]"</definedName>
    <definedName name="Excel_BuiltIn_Print_Titles_4_3_1">"[$#ССЫЛ!.$#ССЫЛ!$#ССЫЛ!]"</definedName>
    <definedName name="Excel_BuiltIn_Print_Titles_4_3_1_2" localSheetId="0">"[$#ССЫЛ!.$#ССЫЛ!$#ССЫЛ!]"</definedName>
    <definedName name="Excel_BuiltIn_Print_Titles_4_3_1_2">"[$#ССЫЛ!.$#ССЫЛ!$#ССЫЛ!]"</definedName>
    <definedName name="Excel_BuiltIn_Print_Titles_4_3_1_3" localSheetId="0">"[$#ССЫЛ!.$#ССЫЛ!$#ССЫЛ!]"</definedName>
    <definedName name="Excel_BuiltIn_Print_Titles_4_3_1_3">"[$#ССЫЛ!.$#ССЫЛ!$#ССЫЛ!]"</definedName>
    <definedName name="Excel_BuiltIn_Print_Titles_4_3_1_4" localSheetId="0">"[$#ССЫЛ!.$#ССЫЛ!$#ССЫЛ!]"</definedName>
    <definedName name="Excel_BuiltIn_Print_Titles_4_3_1_4">"[$#ССЫЛ!.$#ССЫЛ!$#ССЫЛ!]"</definedName>
    <definedName name="Excel_BuiltIn_Print_Titles_4_3_2" localSheetId="0">"[$#ССЫЛ!.$#ССЫЛ!$#ССЫЛ!]"</definedName>
    <definedName name="Excel_BuiltIn_Print_Titles_4_3_2">"[$#ССЫЛ!.$#ССЫЛ!$#ССЫЛ!]"</definedName>
    <definedName name="Excel_BuiltIn_Print_Titles_4_3_3" localSheetId="0">"[$#ССЫЛ!.$#ССЫЛ!$#ССЫЛ!]"</definedName>
    <definedName name="Excel_BuiltIn_Print_Titles_4_3_3">"[$#ССЫЛ!.$#ССЫЛ!$#ССЫЛ!]"</definedName>
    <definedName name="Excel_BuiltIn_Print_Titles_4_3_4" localSheetId="0">"[$#ССЫЛ!.$#ССЫЛ!$#ССЫЛ!]"</definedName>
    <definedName name="Excel_BuiltIn_Print_Titles_4_3_4">"[$#ССЫЛ!.$#ССЫЛ!$#ССЫЛ!]"</definedName>
    <definedName name="дек.2000ТДФ" localSheetId="0">"[$#ССЫЛ!.$#ССЫЛ!$#ССЫЛ!]"</definedName>
    <definedName name="дек.2000ТДФ">"[$#ССЫЛ!.$#ССЫЛ!$#ССЫЛ!]"</definedName>
    <definedName name="дек.2000ТДФ_1" localSheetId="0">"[$#ССЫЛ!.$#ССЫЛ!$#ССЫЛ!]"</definedName>
    <definedName name="дек.2000ТДФ_1">"[$#ССЫЛ!.$#ССЫЛ!$#ССЫЛ!]"</definedName>
    <definedName name="дек.2000ТДФ_1_1" localSheetId="0">"[$#ССЫЛ!.$#ССЫЛ!$#ССЫЛ!]"</definedName>
    <definedName name="дек.2000ТДФ_1_1">"[$#ССЫЛ!.$#ССЫЛ!$#ССЫЛ!]"</definedName>
    <definedName name="дек.2000ТДФ_2" localSheetId="0">"[$#ССЫЛ!.$#ССЫЛ!$#ССЫЛ!]"</definedName>
    <definedName name="дек.2000ТДФ_2">"[$#ССЫЛ!.$#ССЫЛ!$#ССЫЛ!]"</definedName>
    <definedName name="дек.2000ТДФ_2_1" localSheetId="0">"[$#ССЫЛ!.$#ССЫЛ!$#ССЫЛ!]"</definedName>
    <definedName name="дек.2000ТДФ_2_1">"[$#ССЫЛ!.$#ССЫЛ!$#ССЫЛ!]"</definedName>
    <definedName name="дек.2000ТДФ_2_1_1" localSheetId="0">"[$#ССЫЛ!.$#ССЫЛ!$#ССЫЛ!]"</definedName>
    <definedName name="дек.2000ТДФ_2_1_1">"[$#ССЫЛ!.$#ССЫЛ!$#ССЫЛ!]"</definedName>
    <definedName name="дек.2000ТДФ_2_2" localSheetId="0">"[$#ССЫЛ!.$#ССЫЛ!$#ССЫЛ!]"</definedName>
    <definedName name="дек.2000ТДФ_2_2">"[$#ССЫЛ!.$#ССЫЛ!$#ССЫЛ!]"</definedName>
    <definedName name="дек.2000ТДФ_3" localSheetId="0">"[$#ССЫЛ!.$#ССЫЛ!$#ССЫЛ!]"</definedName>
    <definedName name="дек.2000ТДФ_3">"[$#ССЫЛ!.$#ССЫЛ!$#ССЫЛ!]"</definedName>
    <definedName name="дек.2000ТДФ_3_1" localSheetId="0">"[$#ССЫЛ!.$#ССЫЛ!$#ССЫЛ!]"</definedName>
    <definedName name="дек.2000ТДФ_3_1">"[$#ССЫЛ!.$#ССЫЛ!$#ССЫЛ!]"</definedName>
    <definedName name="дек.2000ТДФ_3_1_1" localSheetId="0">"[$#ССЫЛ!.$#ССЫЛ!$#ССЫЛ!]"</definedName>
    <definedName name="дек.2000ТДФ_3_1_1">"[$#ССЫЛ!.$#ССЫЛ!$#ССЫЛ!]"</definedName>
    <definedName name="дек.2000ТДФ_3_1_2" localSheetId="0">"[$#ССЫЛ!.$#ССЫЛ!$#ССЫЛ!]"</definedName>
    <definedName name="дек.2000ТДФ_3_1_2">"[$#ССЫЛ!.$#ССЫЛ!$#ССЫЛ!]"</definedName>
    <definedName name="дек.2000ТДФ_3_1_3" localSheetId="0">"[$#ССЫЛ!.$#ССЫЛ!$#ССЫЛ!]"</definedName>
    <definedName name="дек.2000ТДФ_3_1_3">"[$#ССЫЛ!.$#ССЫЛ!$#ССЫЛ!]"</definedName>
    <definedName name="дек.2000ТДФ_3_1_4" localSheetId="0">"[$#ССЫЛ!.$#ССЫЛ!$#ССЫЛ!]"</definedName>
    <definedName name="дек.2000ТДФ_3_1_4">"[$#ССЫЛ!.$#ССЫЛ!$#ССЫЛ!]"</definedName>
    <definedName name="дек.2000ТДФ_3_2" localSheetId="0">"[$#ССЫЛ!.$#ССЫЛ!$#ССЫЛ!]"</definedName>
    <definedName name="дек.2000ТДФ_3_2">"[$#ССЫЛ!.$#ССЫЛ!$#ССЫЛ!]"</definedName>
    <definedName name="дек.2000ТДФ_3_3" localSheetId="0">"[$#ССЫЛ!.$#ССЫЛ!$#ССЫЛ!]"</definedName>
    <definedName name="дек.2000ТДФ_3_3">"[$#ССЫЛ!.$#ССЫЛ!$#ССЫЛ!]"</definedName>
    <definedName name="дек.2000ТДФ_3_4" localSheetId="0">"[$#ССЫЛ!.$#ССЫЛ!$#ССЫЛ!]"</definedName>
    <definedName name="дек.2000ТДФ_3_4">"[$#ССЫЛ!.$#ССЫЛ!$#ССЫЛ!]"</definedName>
    <definedName name="дек.2000ТДФ_4" localSheetId="0">"[$#ССЫЛ!.$#ССЫЛ!$#ССЫЛ!]"</definedName>
    <definedName name="дек.2000ТДФ_4">"[$#ССЫЛ!.$#ССЫЛ!$#ССЫЛ!]"</definedName>
    <definedName name="День" localSheetId="0">"([$#ССЫЛ!.$#ССЫЛ!$#ССЫЛ!];[$#ССЫЛ!.#ССЫЛ!$#ССЫЛ!];[$#ССЫЛ!.$#ССЫЛ!$#ССЫЛ!])"</definedName>
    <definedName name="День">"([$#ССЫЛ!.$#ССЫЛ!$#ССЫЛ!];[$#ССЫЛ!.#ССЫЛ!$#ССЫЛ!];[$#ССЫЛ!.$#ССЫЛ!$#ССЫЛ!])"</definedName>
    <definedName name="День_1" localSheetId="0">"([$#ССЫЛ!.$#ССЫЛ!$#ССЫЛ!];[$#ССЫЛ!.$#ССЫЛ!$#ССЫЛ!];[$#ССЫЛ!.$#ССЫЛ!$#ССЫЛ!])"</definedName>
    <definedName name="День_1">"([$#ССЫЛ!.$#ССЫЛ!$#ССЫЛ!];[$#ССЫЛ!.$#ССЫЛ!$#ССЫЛ!];[$#ССЫЛ!.$#ССЫЛ!$#ССЫЛ!])"</definedName>
    <definedName name="День_1_1" localSheetId="0">"([$#ССЫЛ!.$#ССЫЛ!$#ССЫЛ!];[$#ССЫЛ!.$#ССЫЛ!$#ССЫЛ!];[$#ССЫЛ!.$#ССЫЛ!$#ССЫЛ!])"</definedName>
    <definedName name="День_1_1">"([$#ССЫЛ!.$#ССЫЛ!$#ССЫЛ!];[$#ССЫЛ!.$#ССЫЛ!$#ССЫЛ!];[$#ССЫЛ!.$#ССЫЛ!$#ССЫЛ!])"</definedName>
    <definedName name="День_1_1_1" localSheetId="0">"([$#ССЫЛ!.$#ССЫЛ!$#ССЫЛ!];[$#ССЫЛ!.$#ССЫЛ!$#ССЫЛ!];[$#ССЫЛ!.$#ССЫЛ!$#ССЫЛ!])"</definedName>
    <definedName name="День_1_1_1">"([$#ССЫЛ!.$#ССЫЛ!$#ССЫЛ!];[$#ССЫЛ!.$#ССЫЛ!$#ССЫЛ!];[$#ССЫЛ!.$#ССЫЛ!$#ССЫЛ!])"</definedName>
    <definedName name="День_1_1_1_1" localSheetId="0">"([$#ССЫЛ!.$#ССЫЛ!$#ССЫЛ!];[$#ССЫЛ!.$#ССЫЛ!$#ССЫЛ!];[$#ССЫЛ!.$#ССЫЛ!$#ССЫЛ!])"</definedName>
    <definedName name="День_1_1_1_1">"([$#ССЫЛ!.$#ССЫЛ!$#ССЫЛ!];[$#ССЫЛ!.$#ССЫЛ!$#ССЫЛ!];[$#ССЫЛ!.$#ССЫЛ!$#ССЫЛ!])"</definedName>
    <definedName name="День_1_1_1_1_1" localSheetId="0">"([$#ССЫЛ!.$#ССЫЛ!$#ССЫЛ!];[$#ССЫЛ!.$#ССЫЛ!$#ССЫЛ!];[$#ССЫЛ!.$#ССЫЛ!$#ССЫЛ!])"</definedName>
    <definedName name="День_1_1_1_1_1">"([$#ССЫЛ!.$#ССЫЛ!$#ССЫЛ!];[$#ССЫЛ!.$#ССЫЛ!$#ССЫЛ!];[$#ССЫЛ!.$#ССЫЛ!$#ССЫЛ!])"</definedName>
    <definedName name="День_1_1_1_1_1_2" localSheetId="0">"([$#ССЫЛ!.$#ССЫЛ!$#ССЫЛ!];[$#ССЫЛ!.$#ССЫЛ!$#ССЫЛ!];[$#ССЫЛ!.$#ССЫЛ!$#ССЫЛ!])"</definedName>
    <definedName name="День_1_1_1_1_1_2">"([$#ССЫЛ!.$#ССЫЛ!$#ССЫЛ!];[$#ССЫЛ!.$#ССЫЛ!$#ССЫЛ!];[$#ССЫЛ!.$#ССЫЛ!$#ССЫЛ!])"</definedName>
    <definedName name="День_1_1_1_1_1_3" localSheetId="0">"([$#ССЫЛ!.$#ССЫЛ!$#ССЫЛ!];[$#ССЫЛ!.$#ССЫЛ!$#ССЫЛ!];[$#ССЫЛ!.$#ССЫЛ!$#ССЫЛ!])"</definedName>
    <definedName name="День_1_1_1_1_1_3">"([$#ССЫЛ!.$#ССЫЛ!$#ССЫЛ!];[$#ССЫЛ!.$#ССЫЛ!$#ССЫЛ!];[$#ССЫЛ!.$#ССЫЛ!$#ССЫЛ!])"</definedName>
    <definedName name="День_1_1_1_1_1_4" localSheetId="0">"([$#ССЫЛ!.$#ССЫЛ!$#ССЫЛ!];[$#ССЫЛ!.$#ССЫЛ!$#ССЫЛ!];[$#ССЫЛ!.$#ССЫЛ!$#ССЫЛ!])"</definedName>
    <definedName name="День_1_1_1_1_1_4">"([$#ССЫЛ!.$#ССЫЛ!$#ССЫЛ!];[$#ССЫЛ!.$#ССЫЛ!$#ССЫЛ!];[$#ССЫЛ!.$#ССЫЛ!$#ССЫЛ!])"</definedName>
    <definedName name="День_1_1_1_1_2" localSheetId="0">"([$#ССЫЛ!.$#ССЫЛ!$#ССЫЛ!];[$#ССЫЛ!.$#ССЫЛ!$#ССЫЛ!];[$#ССЫЛ!.$#ССЫЛ!$#ССЫЛ!])"</definedName>
    <definedName name="День_1_1_1_1_2">"([$#ССЫЛ!.$#ССЫЛ!$#ССЫЛ!];[$#ССЫЛ!.$#ССЫЛ!$#ССЫЛ!];[$#ССЫЛ!.$#ССЫЛ!$#ССЫЛ!])"</definedName>
    <definedName name="День_1_1_1_1_3" localSheetId="0">"([$#ССЫЛ!.$#ССЫЛ!$#ССЫЛ!];[$#ССЫЛ!.$#ССЫЛ!$#ССЫЛ!];[$#ССЫЛ!.$#ССЫЛ!$#ССЫЛ!])"</definedName>
    <definedName name="День_1_1_1_1_3">"([$#ССЫЛ!.$#ССЫЛ!$#ССЫЛ!];[$#ССЫЛ!.$#ССЫЛ!$#ССЫЛ!];[$#ССЫЛ!.$#ССЫЛ!$#ССЫЛ!])"</definedName>
    <definedName name="День_1_1_1_1_4" localSheetId="0">"([$#ССЫЛ!.$#ССЫЛ!$#ССЫЛ!];[$#ССЫЛ!.$#ССЫЛ!$#ССЫЛ!];[$#ССЫЛ!.$#ССЫЛ!$#ССЫЛ!])"</definedName>
    <definedName name="День_1_1_1_1_4">"([$#ССЫЛ!.$#ССЫЛ!$#ССЫЛ!];[$#ССЫЛ!.$#ССЫЛ!$#ССЫЛ!];[$#ССЫЛ!.$#ССЫЛ!$#ССЫЛ!])"</definedName>
    <definedName name="День_1_1_1_2" localSheetId="0">"([$#ССЫЛ!.$#ССЫЛ!$#ССЫЛ!];[$#ССЫЛ!.$#ССЫЛ!$#ССЫЛ!];[$#ССЫЛ!.$#ССЫЛ!$#ССЫЛ!])"</definedName>
    <definedName name="День_1_1_1_2">"([$#ССЫЛ!.$#ССЫЛ!$#ССЫЛ!];[$#ССЫЛ!.$#ССЫЛ!$#ССЫЛ!];[$#ССЫЛ!.$#ССЫЛ!$#ССЫЛ!])"</definedName>
    <definedName name="День_1_1_1_3" localSheetId="0">"([$#ССЫЛ!.$#ССЫЛ!$#ССЫЛ!];[$#ССЫЛ!.$#ССЫЛ!$#ССЫЛ!];[$#ССЫЛ!.$#ССЫЛ!$#ССЫЛ!])"</definedName>
    <definedName name="День_1_1_1_3">"([$#ССЫЛ!.$#ССЫЛ!$#ССЫЛ!];[$#ССЫЛ!.$#ССЫЛ!$#ССЫЛ!];[$#ССЫЛ!.$#ССЫЛ!$#ССЫЛ!])"</definedName>
    <definedName name="День_1_1_1_4" localSheetId="0">"([$#ССЫЛ!.$#ССЫЛ!$#ССЫЛ!];[$#ССЫЛ!.$#ССЫЛ!$#ССЫЛ!];[$#ССЫЛ!.$#ССЫЛ!$#ССЫЛ!])"</definedName>
    <definedName name="День_1_1_1_4">"([$#ССЫЛ!.$#ССЫЛ!$#ССЫЛ!];[$#ССЫЛ!.$#ССЫЛ!$#ССЫЛ!];[$#ССЫЛ!.$#ССЫЛ!$#ССЫЛ!])"</definedName>
    <definedName name="День_1_1_2" localSheetId="0">"([$#ССЫЛ!.$#ССЫЛ!$#ССЫЛ!];[$#ССЫЛ!.$#ССЫЛ!$#ССЫЛ!];[$#ССЫЛ!.$#ССЫЛ!$#ССЫЛ!])"</definedName>
    <definedName name="День_1_1_2">"([$#ССЫЛ!.$#ССЫЛ!$#ССЫЛ!];[$#ССЫЛ!.$#ССЫЛ!$#ССЫЛ!];[$#ССЫЛ!.$#ССЫЛ!$#ССЫЛ!])"</definedName>
    <definedName name="День_1_1_3" localSheetId="0">"([$#ССЫЛ!.$#ССЫЛ!$#ССЫЛ!];[$#ССЫЛ!.$#ССЫЛ!$#ССЫЛ!];[$#ССЫЛ!.$#ССЫЛ!$#ССЫЛ!])"</definedName>
    <definedName name="День_1_1_3">"([$#ССЫЛ!.$#ССЫЛ!$#ССЫЛ!];[$#ССЫЛ!.$#ССЫЛ!$#ССЫЛ!];[$#ССЫЛ!.$#ССЫЛ!$#ССЫЛ!])"</definedName>
    <definedName name="День_1_1_4" localSheetId="0">"([$#ССЫЛ!.$#ССЫЛ!$#ССЫЛ!];[$#ССЫЛ!.$#ССЫЛ!$#ССЫЛ!];[$#ССЫЛ!.$#ССЫЛ!$#ССЫЛ!])"</definedName>
    <definedName name="День_1_1_4">"([$#ССЫЛ!.$#ССЫЛ!$#ССЫЛ!];[$#ССЫЛ!.$#ССЫЛ!$#ССЫЛ!];[$#ССЫЛ!.$#ССЫЛ!$#ССЫЛ!])"</definedName>
    <definedName name="День_1_2" localSheetId="0">"([$#ССЫЛ!.$#ССЫЛ!$#ССЫЛ!];[$#ССЫЛ!.$#ССЫЛ!$#ССЫЛ!];[$#ССЫЛ!.$#ССЫЛ!$#ССЫЛ!])"</definedName>
    <definedName name="День_1_2">"([$#ССЫЛ!.$#ССЫЛ!$#ССЫЛ!];[$#ССЫЛ!.$#ССЫЛ!$#ССЫЛ!];[$#ССЫЛ!.$#ССЫЛ!$#ССЫЛ!])"</definedName>
    <definedName name="День_1_3" localSheetId="0">"([$#ССЫЛ!.$#ССЫЛ!$#ССЫЛ!];[$#ССЫЛ!.$#ССЫЛ!$#ССЫЛ!];[$#ССЫЛ!.$#ССЫЛ!$#ССЫЛ!])"</definedName>
    <definedName name="День_1_3">"([$#ССЫЛ!.$#ССЫЛ!$#ССЫЛ!];[$#ССЫЛ!.$#ССЫЛ!$#ССЫЛ!];[$#ССЫЛ!.$#ССЫЛ!$#ССЫЛ!])"</definedName>
    <definedName name="День_1_4" localSheetId="0">"([$#ССЫЛ!.$#ССЫЛ!$#ССЫЛ!];[$#ССЫЛ!.$#ССЫЛ!$#ССЫЛ!];[$#ССЫЛ!.$#ССЫЛ!$#ССЫЛ!])"</definedName>
    <definedName name="День_1_4">"([$#ССЫЛ!.$#ССЫЛ!$#ССЫЛ!];[$#ССЫЛ!.$#ССЫЛ!$#ССЫЛ!];[$#ССЫЛ!.$#ССЫЛ!$#ССЫЛ!])"</definedName>
    <definedName name="День_2" localSheetId="0">"([$#ССЫЛ!.$#ССЫЛ!$#ССЫЛ!];[$#ССЫЛ!.$#ССЫЛ!$#ССЫЛ!];[$#ССЫЛ!.$#ССЫЛ!$#ССЫЛ!])"</definedName>
    <definedName name="День_2">"([$#ССЫЛ!.$#ССЫЛ!$#ССЫЛ!];[$#ССЫЛ!.$#ССЫЛ!$#ССЫЛ!];[$#ССЫЛ!.$#ССЫЛ!$#ССЫЛ!])"</definedName>
    <definedName name="День_2_1" localSheetId="0">"([$#ССЫЛ!.$#ССЫЛ!$#ССЫЛ!];[$#ССЫЛ!.$#ССЫЛ!$#ССЫЛ!];[$#ССЫЛ!.$#ССЫЛ!$#ССЫЛ!])"</definedName>
    <definedName name="День_2_1">"([$#ССЫЛ!.$#ССЫЛ!$#ССЫЛ!];[$#ССЫЛ!.$#ССЫЛ!$#ССЫЛ!];[$#ССЫЛ!.$#ССЫЛ!$#ССЫЛ!])"</definedName>
    <definedName name="День_2_1_1" localSheetId="0">"([$#ССЫЛ!.$#ССЫЛ!$#ССЫЛ!];[$#ССЫЛ!.$#ССЫЛ!$#ССЫЛ!];[$#ССЫЛ!.$#ССЫЛ!$#ССЫЛ!])"</definedName>
    <definedName name="День_2_1_1">"([$#ССЫЛ!.$#ССЫЛ!$#ССЫЛ!];[$#ССЫЛ!.$#ССЫЛ!$#ССЫЛ!];[$#ССЫЛ!.$#ССЫЛ!$#ССЫЛ!])"</definedName>
    <definedName name="День_2_1_1_1" localSheetId="0">"([$#ССЫЛ!.$#ССЫЛ!$#ССЫЛ!];[$#ССЫЛ!.$#ССЫЛ!$#ССЫЛ!];[$#ССЫЛ!.$#ССЫЛ!$#ССЫЛ!])"</definedName>
    <definedName name="День_2_1_1_1">"([$#ССЫЛ!.$#ССЫЛ!$#ССЫЛ!];[$#ССЫЛ!.$#ССЫЛ!$#ССЫЛ!];[$#ССЫЛ!.$#ССЫЛ!$#ССЫЛ!])"</definedName>
    <definedName name="День_2_1_1_1_1" localSheetId="0">"([$#ССЫЛ!.$#ССЫЛ!$#ССЫЛ!];[$#ССЫЛ!.$#ССЫЛ!$#ССЫЛ!];[$#ССЫЛ!.$#ССЫЛ!$#ССЫЛ!])"</definedName>
    <definedName name="День_2_1_1_1_1">"([$#ССЫЛ!.$#ССЫЛ!$#ССЫЛ!];[$#ССЫЛ!.$#ССЫЛ!$#ССЫЛ!];[$#ССЫЛ!.$#ССЫЛ!$#ССЫЛ!])"</definedName>
    <definedName name="День_2_1_1_1_1_1" localSheetId="0">"([$#ССЫЛ!.$#ССЫЛ!$#ССЫЛ!];[$#ССЫЛ!.$#ССЫЛ!$#ССЫЛ!];[$#ССЫЛ!.$#ССЫЛ!$#ССЫЛ!])"</definedName>
    <definedName name="День_2_1_1_1_1_1">"([$#ССЫЛ!.$#ССЫЛ!$#ССЫЛ!];[$#ССЫЛ!.$#ССЫЛ!$#ССЫЛ!];[$#ССЫЛ!.$#ССЫЛ!$#ССЫЛ!])"</definedName>
    <definedName name="День_2_1_1_1_1_1_2" localSheetId="0">"([$#ССЫЛ!.$#ССЫЛ!$#ССЫЛ!];[$#ССЫЛ!.$#ССЫЛ!$#ССЫЛ!];[$#ССЫЛ!.$#ССЫЛ!$#ССЫЛ!])"</definedName>
    <definedName name="День_2_1_1_1_1_1_2">"([$#ССЫЛ!.$#ССЫЛ!$#ССЫЛ!];[$#ССЫЛ!.$#ССЫЛ!$#ССЫЛ!];[$#ССЫЛ!.$#ССЫЛ!$#ССЫЛ!])"</definedName>
    <definedName name="День_2_1_1_1_1_1_3" localSheetId="0">"([$#ССЫЛ!.$#ССЫЛ!$#ССЫЛ!];[$#ССЫЛ!.$#ССЫЛ!$#ССЫЛ!];[$#ССЫЛ!.$#ССЫЛ!$#ССЫЛ!])"</definedName>
    <definedName name="День_2_1_1_1_1_1_3">"([$#ССЫЛ!.$#ССЫЛ!$#ССЫЛ!];[$#ССЫЛ!.$#ССЫЛ!$#ССЫЛ!];[$#ССЫЛ!.$#ССЫЛ!$#ССЫЛ!])"</definedName>
    <definedName name="День_2_1_1_1_1_1_4" localSheetId="0">"([$#ССЫЛ!.$#ССЫЛ!$#ССЫЛ!];[$#ССЫЛ!.$#ССЫЛ!$#ССЫЛ!];[$#ССЫЛ!.$#ССЫЛ!$#ССЫЛ!])"</definedName>
    <definedName name="День_2_1_1_1_1_1_4">"([$#ССЫЛ!.$#ССЫЛ!$#ССЫЛ!];[$#ССЫЛ!.$#ССЫЛ!$#ССЫЛ!];[$#ССЫЛ!.$#ССЫЛ!$#ССЫЛ!])"</definedName>
    <definedName name="День_2_1_1_1_1_2" localSheetId="0">"([$#ССЫЛ!.$#ССЫЛ!$#ССЫЛ!];[$#ССЫЛ!.$#ССЫЛ!$#ССЫЛ!];[$#ССЫЛ!.$#ССЫЛ!$#ССЫЛ!])"</definedName>
    <definedName name="День_2_1_1_1_1_2">"([$#ССЫЛ!.$#ССЫЛ!$#ССЫЛ!];[$#ССЫЛ!.$#ССЫЛ!$#ССЫЛ!];[$#ССЫЛ!.$#ССЫЛ!$#ССЫЛ!])"</definedName>
    <definedName name="День_2_1_1_1_1_3" localSheetId="0">"([$#ССЫЛ!.$#ССЫЛ!$#ССЫЛ!];[$#ССЫЛ!.$#ССЫЛ!$#ССЫЛ!];[$#ССЫЛ!.$#ССЫЛ!$#ССЫЛ!])"</definedName>
    <definedName name="День_2_1_1_1_1_3">"([$#ССЫЛ!.$#ССЫЛ!$#ССЫЛ!];[$#ССЫЛ!.$#ССЫЛ!$#ССЫЛ!];[$#ССЫЛ!.$#ССЫЛ!$#ССЫЛ!])"</definedName>
    <definedName name="День_2_1_1_1_1_4" localSheetId="0">"([$#ССЫЛ!.$#ССЫЛ!$#ССЫЛ!];[$#ССЫЛ!.$#ССЫЛ!$#ССЫЛ!];[$#ССЫЛ!.$#ССЫЛ!$#ССЫЛ!])"</definedName>
    <definedName name="День_2_1_1_1_1_4">"([$#ССЫЛ!.$#ССЫЛ!$#ССЫЛ!];[$#ССЫЛ!.$#ССЫЛ!$#ССЫЛ!];[$#ССЫЛ!.$#ССЫЛ!$#ССЫЛ!])"</definedName>
    <definedName name="День_2_1_1_1_2" localSheetId="0">"([$#ССЫЛ!.$#ССЫЛ!$#ССЫЛ!];[$#ССЫЛ!.$#ССЫЛ!$#ССЫЛ!];[$#ССЫЛ!.$#ССЫЛ!$#ССЫЛ!])"</definedName>
    <definedName name="День_2_1_1_1_2">"([$#ССЫЛ!.$#ССЫЛ!$#ССЫЛ!];[$#ССЫЛ!.$#ССЫЛ!$#ССЫЛ!];[$#ССЫЛ!.$#ССЫЛ!$#ССЫЛ!])"</definedName>
    <definedName name="День_2_1_1_1_3" localSheetId="0">"([$#ССЫЛ!.$#ССЫЛ!$#ССЫЛ!];[$#ССЫЛ!.$#ССЫЛ!$#ССЫЛ!];[$#ССЫЛ!.$#ССЫЛ!$#ССЫЛ!])"</definedName>
    <definedName name="День_2_1_1_1_3">"([$#ССЫЛ!.$#ССЫЛ!$#ССЫЛ!];[$#ССЫЛ!.$#ССЫЛ!$#ССЫЛ!];[$#ССЫЛ!.$#ССЫЛ!$#ССЫЛ!])"</definedName>
    <definedName name="День_2_1_1_1_4" localSheetId="0">"([$#ССЫЛ!.$#ССЫЛ!$#ССЫЛ!];[$#ССЫЛ!.$#ССЫЛ!$#ССЫЛ!];[$#ССЫЛ!.$#ССЫЛ!$#ССЫЛ!])"</definedName>
    <definedName name="День_2_1_1_1_4">"([$#ССЫЛ!.$#ССЫЛ!$#ССЫЛ!];[$#ССЫЛ!.$#ССЫЛ!$#ССЫЛ!];[$#ССЫЛ!.$#ССЫЛ!$#ССЫЛ!])"</definedName>
    <definedName name="День_2_1_1_2" localSheetId="0">"([$#ССЫЛ!.$#ССЫЛ!$#ССЫЛ!];[$#ССЫЛ!.$#ССЫЛ!$#ССЫЛ!];[$#ССЫЛ!.$#ССЫЛ!$#ССЫЛ!])"</definedName>
    <definedName name="День_2_1_1_2">"([$#ССЫЛ!.$#ССЫЛ!$#ССЫЛ!];[$#ССЫЛ!.$#ССЫЛ!$#ССЫЛ!];[$#ССЫЛ!.$#ССЫЛ!$#ССЫЛ!])"</definedName>
    <definedName name="День_2_1_1_3" localSheetId="0">"([$#ССЫЛ!.$#ССЫЛ!$#ССЫЛ!];[$#ССЫЛ!.$#ССЫЛ!$#ССЫЛ!];[$#ССЫЛ!.$#ССЫЛ!$#ССЫЛ!])"</definedName>
    <definedName name="День_2_1_1_3">"([$#ССЫЛ!.$#ССЫЛ!$#ССЫЛ!];[$#ССЫЛ!.$#ССЫЛ!$#ССЫЛ!];[$#ССЫЛ!.$#ССЫЛ!$#ССЫЛ!])"</definedName>
    <definedName name="День_2_1_1_4" localSheetId="0">"([$#ССЫЛ!.$#ССЫЛ!$#ССЫЛ!];[$#ССЫЛ!.$#ССЫЛ!$#ССЫЛ!];[$#ССЫЛ!.$#ССЫЛ!$#ССЫЛ!])"</definedName>
    <definedName name="День_2_1_1_4">"([$#ССЫЛ!.$#ССЫЛ!$#ССЫЛ!];[$#ССЫЛ!.$#ССЫЛ!$#ССЫЛ!];[$#ССЫЛ!.$#ССЫЛ!$#ССЫЛ!])"</definedName>
    <definedName name="День_2_1_2" localSheetId="0">"([$#ССЫЛ!.$#ССЫЛ!$#ССЫЛ!];[$#ССЫЛ!.$#ССЫЛ!$#ССЫЛ!];[$#ССЫЛ!.$#ССЫЛ!$#ССЫЛ!])"</definedName>
    <definedName name="День_2_1_2">"([$#ССЫЛ!.$#ССЫЛ!$#ССЫЛ!];[$#ССЫЛ!.$#ССЫЛ!$#ССЫЛ!];[$#ССЫЛ!.$#ССЫЛ!$#ССЫЛ!])"</definedName>
    <definedName name="День_2_1_3" localSheetId="0">"([$#ССЫЛ!.$#ССЫЛ!$#ССЫЛ!];[$#ССЫЛ!.$#ССЫЛ!$#ССЫЛ!];[$#ССЫЛ!.$#ССЫЛ!$#ССЫЛ!])"</definedName>
    <definedName name="День_2_1_3">"([$#ССЫЛ!.$#ССЫЛ!$#ССЫЛ!];[$#ССЫЛ!.$#ССЫЛ!$#ССЫЛ!];[$#ССЫЛ!.$#ССЫЛ!$#ССЫЛ!])"</definedName>
    <definedName name="День_2_1_4" localSheetId="0">"([$#ССЫЛ!.$#ССЫЛ!$#ССЫЛ!];[$#ССЫЛ!.$#ССЫЛ!$#ССЫЛ!];[$#ССЫЛ!.$#ССЫЛ!$#ССЫЛ!])"</definedName>
    <definedName name="День_2_1_4">"([$#ССЫЛ!.$#ССЫЛ!$#ССЫЛ!];[$#ССЫЛ!.$#ССЫЛ!$#ССЫЛ!];[$#ССЫЛ!.$#ССЫЛ!$#ССЫЛ!])"</definedName>
    <definedName name="День_2_2" localSheetId="0">"([$#ССЫЛ!.$#ССЫЛ!$#ССЫЛ!];[$#ССЫЛ!.$#ССЫЛ!$#ССЫЛ!];[$#ССЫЛ!.$#ССЫЛ!$#ССЫЛ!])"</definedName>
    <definedName name="День_2_2">"([$#ССЫЛ!.$#ССЫЛ!$#ССЫЛ!];[$#ССЫЛ!.$#ССЫЛ!$#ССЫЛ!];[$#ССЫЛ!.$#ССЫЛ!$#ССЫЛ!])"</definedName>
    <definedName name="День_2_2_1" localSheetId="0">"([$#ССЫЛ!.$#ССЫЛ!$#ССЫЛ!];[$#ССЫЛ!.$#ССЫЛ!$#ССЫЛ!];[$#ССЫЛ!.$#ССЫЛ!$#ССЫЛ!])"</definedName>
    <definedName name="День_2_2_1">"([$#ССЫЛ!.$#ССЫЛ!$#ССЫЛ!];[$#ССЫЛ!.$#ССЫЛ!$#ССЫЛ!];[$#ССЫЛ!.$#ССЫЛ!$#ССЫЛ!])"</definedName>
    <definedName name="День_2_2_1_1" localSheetId="0">"([$#ССЫЛ!.$#ССЫЛ!$#ССЫЛ!];[$#ССЫЛ!.$#ССЫЛ!$#ССЫЛ!];[$#ССЫЛ!.$#ССЫЛ!$#ССЫЛ!])"</definedName>
    <definedName name="День_2_2_1_1">"([$#ССЫЛ!.$#ССЫЛ!$#ССЫЛ!];[$#ССЫЛ!.$#ССЫЛ!$#ССЫЛ!];[$#ССЫЛ!.$#ССЫЛ!$#ССЫЛ!])"</definedName>
    <definedName name="День_2_2_1_2" localSheetId="0">"([$#ССЫЛ!.$#ССЫЛ!$#ССЫЛ!];[$#ССЫЛ!.$#ССЫЛ!$#ССЫЛ!];[$#ССЫЛ!.$#ССЫЛ!$#ССЫЛ!])"</definedName>
    <definedName name="День_2_2_1_2">"([$#ССЫЛ!.$#ССЫЛ!$#ССЫЛ!];[$#ССЫЛ!.$#ССЫЛ!$#ССЫЛ!];[$#ССЫЛ!.$#ССЫЛ!$#ССЫЛ!])"</definedName>
    <definedName name="День_2_2_1_3" localSheetId="0">"([$#ССЫЛ!.$#ССЫЛ!$#ССЫЛ!];[$#ССЫЛ!.$#ССЫЛ!$#ССЫЛ!];[$#ССЫЛ!.$#ССЫЛ!$#ССЫЛ!])"</definedName>
    <definedName name="День_2_2_1_3">"([$#ССЫЛ!.$#ССЫЛ!$#ССЫЛ!];[$#ССЫЛ!.$#ССЫЛ!$#ССЫЛ!];[$#ССЫЛ!.$#ССЫЛ!$#ССЫЛ!])"</definedName>
    <definedName name="День_2_2_1_4" localSheetId="0">"([$#ССЫЛ!.$#ССЫЛ!$#ССЫЛ!];[$#ССЫЛ!.$#ССЫЛ!$#ССЫЛ!];[$#ССЫЛ!.$#ССЫЛ!$#ССЫЛ!])"</definedName>
    <definedName name="День_2_2_1_4">"([$#ССЫЛ!.$#ССЫЛ!$#ССЫЛ!];[$#ССЫЛ!.$#ССЫЛ!$#ССЫЛ!];[$#ССЫЛ!.$#ССЫЛ!$#ССЫЛ!])"</definedName>
    <definedName name="День_2_2_2" localSheetId="0">"([$#ССЫЛ!.$#ССЫЛ!$#ССЫЛ!];[$#ССЫЛ!.$#ССЫЛ!$#ССЫЛ!];[$#ССЫЛ!.$#ССЫЛ!$#ССЫЛ!])"</definedName>
    <definedName name="День_2_2_2">"([$#ССЫЛ!.$#ССЫЛ!$#ССЫЛ!];[$#ССЫЛ!.$#ССЫЛ!$#ССЫЛ!];[$#ССЫЛ!.$#ССЫЛ!$#ССЫЛ!])"</definedName>
    <definedName name="День_2_2_3" localSheetId="0">"([$#ССЫЛ!.$#ССЫЛ!$#ССЫЛ!];[$#ССЫЛ!.$#ССЫЛ!$#ССЫЛ!];[$#ССЫЛ!.$#ССЫЛ!$#ССЫЛ!])"</definedName>
    <definedName name="День_2_2_3">"([$#ССЫЛ!.$#ССЫЛ!$#ССЫЛ!];[$#ССЫЛ!.$#ССЫЛ!$#ССЫЛ!];[$#ССЫЛ!.$#ССЫЛ!$#ССЫЛ!])"</definedName>
    <definedName name="День_2_2_4" localSheetId="0">"([$#ССЫЛ!.$#ССЫЛ!$#ССЫЛ!];[$#ССЫЛ!.$#ССЫЛ!$#ССЫЛ!];[$#ССЫЛ!.$#ССЫЛ!$#ССЫЛ!])"</definedName>
    <definedName name="День_2_2_4">"([$#ССЫЛ!.$#ССЫЛ!$#ССЫЛ!];[$#ССЫЛ!.$#ССЫЛ!$#ССЫЛ!];[$#ССЫЛ!.$#ССЫЛ!$#ССЫЛ!])"</definedName>
    <definedName name="День_2_3" localSheetId="0">"([$#ССЫЛ!.$#ССЫЛ!$#ССЫЛ!];[$#ССЫЛ!.$#ССЫЛ!$#ССЫЛ!];[$#ССЫЛ!.$#ССЫЛ!$#ССЫЛ!])"</definedName>
    <definedName name="День_2_3">"([$#ССЫЛ!.$#ССЫЛ!$#ССЫЛ!];[$#ССЫЛ!.$#ССЫЛ!$#ССЫЛ!];[$#ССЫЛ!.$#ССЫЛ!$#ССЫЛ!])"</definedName>
    <definedName name="День_2_4" localSheetId="0">"([$#ССЫЛ!.$#ССЫЛ!$#ССЫЛ!];[$#ССЫЛ!.$#ССЫЛ!$#ССЫЛ!];[$#ССЫЛ!.$#ССЫЛ!$#ССЫЛ!])"</definedName>
    <definedName name="День_2_4">"([$#ССЫЛ!.$#ССЫЛ!$#ССЫЛ!];[$#ССЫЛ!.$#ССЫЛ!$#ССЫЛ!];[$#ССЫЛ!.$#ССЫЛ!$#ССЫЛ!])"</definedName>
    <definedName name="День_3" localSheetId="0">"([$#ССЫЛ!.$#ССЫЛ!$#ССЫЛ!];[$#ССЫЛ!.$#ССЫЛ!$#ССЫЛ!];[$#ССЫЛ!.$#ССЫЛ!$#ССЫЛ!])"</definedName>
    <definedName name="День_3">"([$#ССЫЛ!.$#ССЫЛ!$#ССЫЛ!];[$#ССЫЛ!.$#ССЫЛ!$#ССЫЛ!];[$#ССЫЛ!.$#ССЫЛ!$#ССЫЛ!])"</definedName>
    <definedName name="День_3_1" localSheetId="0">"([$#ССЫЛ!.$#ССЫЛ!$#ССЫЛ!];[$#ССЫЛ!.$#ССЫЛ!$#ССЫЛ!];[$#ССЫЛ!.$#ССЫЛ!$#ССЫЛ!])"</definedName>
    <definedName name="День_3_1">"([$#ССЫЛ!.$#ССЫЛ!$#ССЫЛ!];[$#ССЫЛ!.$#ССЫЛ!$#ССЫЛ!];[$#ССЫЛ!.$#ССЫЛ!$#ССЫЛ!])"</definedName>
    <definedName name="День_3_1_1" localSheetId="0">"([$#ССЫЛ!.$#ССЫЛ!$#ССЫЛ!];[$#ССЫЛ!.$#ССЫЛ!$#ССЫЛ!];[$#ССЫЛ!.$#ССЫЛ!$#ССЫЛ!])"</definedName>
    <definedName name="День_3_1_1">"([$#ССЫЛ!.$#ССЫЛ!$#ССЫЛ!];[$#ССЫЛ!.$#ССЫЛ!$#ССЫЛ!];[$#ССЫЛ!.$#ССЫЛ!$#ССЫЛ!])"</definedName>
    <definedName name="День_3_1_1_1" localSheetId="0">"([$#ССЫЛ!.$#ССЫЛ!$#ССЫЛ!];[$#ССЫЛ!.$#ССЫЛ!$#ССЫЛ!];[$#ССЫЛ!.$#ССЫЛ!$#ССЫЛ!])"</definedName>
    <definedName name="День_3_1_1_1">"([$#ССЫЛ!.$#ССЫЛ!$#ССЫЛ!];[$#ССЫЛ!.$#ССЫЛ!$#ССЫЛ!];[$#ССЫЛ!.$#ССЫЛ!$#ССЫЛ!])"</definedName>
    <definedName name="День_3_1_1_1_1" localSheetId="0">"([$#ССЫЛ!.$#ССЫЛ!$#ССЫЛ!];[$#ССЫЛ!.$#ССЫЛ!$#ССЫЛ!];[$#ССЫЛ!.$#ССЫЛ!$#ССЫЛ!])"</definedName>
    <definedName name="День_3_1_1_1_1">"([$#ССЫЛ!.$#ССЫЛ!$#ССЫЛ!];[$#ССЫЛ!.$#ССЫЛ!$#ССЫЛ!];[$#ССЫЛ!.$#ССЫЛ!$#ССЫЛ!])"</definedName>
    <definedName name="День_3_1_1_1_2" localSheetId="0">"([$#ССЫЛ!.$#ССЫЛ!$#ССЫЛ!];[$#ССЫЛ!.$#ССЫЛ!$#ССЫЛ!];[$#ССЫЛ!.$#ССЫЛ!$#ССЫЛ!])"</definedName>
    <definedName name="День_3_1_1_1_2">"([$#ССЫЛ!.$#ССЫЛ!$#ССЫЛ!];[$#ССЫЛ!.$#ССЫЛ!$#ССЫЛ!];[$#ССЫЛ!.$#ССЫЛ!$#ССЫЛ!])"</definedName>
    <definedName name="День_3_1_1_1_3" localSheetId="0">"([$#ССЫЛ!.$#ССЫЛ!$#ССЫЛ!];[$#ССЫЛ!.$#ССЫЛ!$#ССЫЛ!];[$#ССЫЛ!.$#ССЫЛ!$#ССЫЛ!])"</definedName>
    <definedName name="День_3_1_1_1_3">"([$#ССЫЛ!.$#ССЫЛ!$#ССЫЛ!];[$#ССЫЛ!.$#ССЫЛ!$#ССЫЛ!];[$#ССЫЛ!.$#ССЫЛ!$#ССЫЛ!])"</definedName>
    <definedName name="День_3_1_1_1_4" localSheetId="0">"([$#ССЫЛ!.$#ССЫЛ!$#ССЫЛ!];[$#ССЫЛ!.$#ССЫЛ!$#ССЫЛ!];[$#ССЫЛ!.$#ССЫЛ!$#ССЫЛ!])"</definedName>
    <definedName name="День_3_1_1_1_4">"([$#ССЫЛ!.$#ССЫЛ!$#ССЫЛ!];[$#ССЫЛ!.$#ССЫЛ!$#ССЫЛ!];[$#ССЫЛ!.$#ССЫЛ!$#ССЫЛ!])"</definedName>
    <definedName name="День_3_1_1_2" localSheetId="0">"([$#ССЫЛ!.$#ССЫЛ!$#ССЫЛ!];[$#ССЫЛ!.$#ССЫЛ!$#ССЫЛ!];[$#ССЫЛ!.$#ССЫЛ!$#ССЫЛ!])"</definedName>
    <definedName name="День_3_1_1_2">"([$#ССЫЛ!.$#ССЫЛ!$#ССЫЛ!];[$#ССЫЛ!.$#ССЫЛ!$#ССЫЛ!];[$#ССЫЛ!.$#ССЫЛ!$#ССЫЛ!])"</definedName>
    <definedName name="День_3_1_1_3" localSheetId="0">"([$#ССЫЛ!.$#ССЫЛ!$#ССЫЛ!];[$#ССЫЛ!.$#ССЫЛ!$#ССЫЛ!];[$#ССЫЛ!.$#ССЫЛ!$#ССЫЛ!])"</definedName>
    <definedName name="День_3_1_1_3">"([$#ССЫЛ!.$#ССЫЛ!$#ССЫЛ!];[$#ССЫЛ!.$#ССЫЛ!$#ССЫЛ!];[$#ССЫЛ!.$#ССЫЛ!$#ССЫЛ!])"</definedName>
    <definedName name="День_3_1_1_4" localSheetId="0">"([$#ССЫЛ!.$#ССЫЛ!$#ССЫЛ!];[$#ССЫЛ!.$#ССЫЛ!$#ССЫЛ!];[$#ССЫЛ!.$#ССЫЛ!$#ССЫЛ!])"</definedName>
    <definedName name="День_3_1_1_4">"([$#ССЫЛ!.$#ССЫЛ!$#ССЫЛ!];[$#ССЫЛ!.$#ССЫЛ!$#ССЫЛ!];[$#ССЫЛ!.$#ССЫЛ!$#ССЫЛ!])"</definedName>
    <definedName name="День_3_1_2" localSheetId="0">"([$#ССЫЛ!.$#ССЫЛ!$#ССЫЛ!];[$#ССЫЛ!.$#ССЫЛ!$#ССЫЛ!];[$#ССЫЛ!.$#ССЫЛ!$#ССЫЛ!])"</definedName>
    <definedName name="День_3_1_2">"([$#ССЫЛ!.$#ССЫЛ!$#ССЫЛ!];[$#ССЫЛ!.$#ССЫЛ!$#ССЫЛ!];[$#ССЫЛ!.$#ССЫЛ!$#ССЫЛ!])"</definedName>
    <definedName name="День_3_1_3" localSheetId="0">"([$#ССЫЛ!.$#ССЫЛ!$#ССЫЛ!];[$#ССЫЛ!.$#ССЫЛ!$#ССЫЛ!];[$#ССЫЛ!.$#ССЫЛ!$#ССЫЛ!])"</definedName>
    <definedName name="День_3_1_3">"([$#ССЫЛ!.$#ССЫЛ!$#ССЫЛ!];[$#ССЫЛ!.$#ССЫЛ!$#ССЫЛ!];[$#ССЫЛ!.$#ССЫЛ!$#ССЫЛ!])"</definedName>
    <definedName name="День_3_1_4" localSheetId="0">"([$#ССЫЛ!.$#ССЫЛ!$#ССЫЛ!];[$#ССЫЛ!.$#ССЫЛ!$#ССЫЛ!];[$#ССЫЛ!.$#ССЫЛ!$#ССЫЛ!])"</definedName>
    <definedName name="День_3_1_4">"([$#ССЫЛ!.$#ССЫЛ!$#ССЫЛ!];[$#ССЫЛ!.$#ССЫЛ!$#ССЫЛ!];[$#ССЫЛ!.$#ССЫЛ!$#ССЫЛ!])"</definedName>
    <definedName name="День_3_2" localSheetId="0">"([$#ССЫЛ!.$#ССЫЛ!$#ССЫЛ!];[$#ССЫЛ!.$#ССЫЛ!$#ССЫЛ!];[$#ССЫЛ!.$#ССЫЛ!$#ССЫЛ!])"</definedName>
    <definedName name="День_3_2">"([$#ССЫЛ!.$#ССЫЛ!$#ССЫЛ!];[$#ССЫЛ!.$#ССЫЛ!$#ССЫЛ!];[$#ССЫЛ!.$#ССЫЛ!$#ССЫЛ!])"</definedName>
    <definedName name="День_3_3" localSheetId="0">"([$#ССЫЛ!.$#ССЫЛ!$#ССЫЛ!];[$#ССЫЛ!.$#ССЫЛ!$#ССЫЛ!];[$#ССЫЛ!.$#ССЫЛ!$#ССЫЛ!])"</definedName>
    <definedName name="День_3_3">"([$#ССЫЛ!.$#ССЫЛ!$#ССЫЛ!];[$#ССЫЛ!.$#ССЫЛ!$#ССЫЛ!];[$#ССЫЛ!.$#ССЫЛ!$#ССЫЛ!])"</definedName>
    <definedName name="День_3_4" localSheetId="0">"([$#ССЫЛ!.$#ССЫЛ!$#ССЫЛ!];[$#ССЫЛ!.$#ССЫЛ!$#ССЫЛ!];[$#ССЫЛ!.$#ССЫЛ!$#ССЫЛ!])"</definedName>
    <definedName name="День_3_4">"([$#ССЫЛ!.$#ССЫЛ!$#ССЫЛ!];[$#ССЫЛ!.$#ССЫЛ!$#ССЫЛ!];[$#ССЫЛ!.$#ССЫЛ!$#ССЫЛ!])"</definedName>
    <definedName name="День_4" localSheetId="0">"([$#ССЫЛ!.$#ССЫЛ!$#ССЫЛ!];[$#ССЫЛ!.$#ССЫЛ!$#ССЫЛ!];[$#ССЫЛ!.$#ССЫЛ!$#ССЫЛ!])"</definedName>
    <definedName name="День_4">"([$#ССЫЛ!.$#ССЫЛ!$#ССЫЛ!];[$#ССЫЛ!.$#ССЫЛ!$#ССЫЛ!];[$#ССЫЛ!.$#ССЫЛ!$#ССЫЛ!])"</definedName>
    <definedName name="День_4_1" localSheetId="0">"([$#ССЫЛ!.$#ССЫЛ!$#ССЫЛ!];[$#ССЫЛ!.$#ССЫЛ!$#ССЫЛ!];[$#ССЫЛ!.$#ССЫЛ!$#ССЫЛ!])"</definedName>
    <definedName name="День_4_1">"([$#ССЫЛ!.$#ССЫЛ!$#ССЫЛ!];[$#ССЫЛ!.$#ССЫЛ!$#ССЫЛ!];[$#ССЫЛ!.$#ССЫЛ!$#ССЫЛ!])"</definedName>
    <definedName name="День_4_1_1" localSheetId="0">"([$#ССЫЛ!.$#ССЫЛ!$#ССЫЛ!];[$#ССЫЛ!.$#ССЫЛ!$#ССЫЛ!];[$#ССЫЛ!.$#ССЫЛ!$#ССЫЛ!])"</definedName>
    <definedName name="День_4_1_1">"([$#ССЫЛ!.$#ССЫЛ!$#ССЫЛ!];[$#ССЫЛ!.$#ССЫЛ!$#ССЫЛ!];[$#ССЫЛ!.$#ССЫЛ!$#ССЫЛ!])"</definedName>
    <definedName name="День_4_1_2" localSheetId="0">"([$#ССЫЛ!.$#ССЫЛ!$#ССЫЛ!];[$#ССЫЛ!.$#ССЫЛ!$#ССЫЛ!];[$#ССЫЛ!.$#ССЫЛ!$#ССЫЛ!])"</definedName>
    <definedName name="День_4_1_2">"([$#ССЫЛ!.$#ССЫЛ!$#ССЫЛ!];[$#ССЫЛ!.$#ССЫЛ!$#ССЫЛ!];[$#ССЫЛ!.$#ССЫЛ!$#ССЫЛ!])"</definedName>
    <definedName name="День_4_1_3" localSheetId="0">"([$#ССЫЛ!.$#ССЫЛ!$#ССЫЛ!];[$#ССЫЛ!.$#ССЫЛ!$#ССЫЛ!];[$#ССЫЛ!.$#ССЫЛ!$#ССЫЛ!])"</definedName>
    <definedName name="День_4_1_3">"([$#ССЫЛ!.$#ССЫЛ!$#ССЫЛ!];[$#ССЫЛ!.$#ССЫЛ!$#ССЫЛ!];[$#ССЫЛ!.$#ССЫЛ!$#ССЫЛ!])"</definedName>
    <definedName name="День_4_1_4" localSheetId="0">"([$#ССЫЛ!.$#ССЫЛ!$#ССЫЛ!];[$#ССЫЛ!.$#ССЫЛ!$#ССЫЛ!];[$#ССЫЛ!.$#ССЫЛ!$#ССЫЛ!])"</definedName>
    <definedName name="День_4_1_4">"([$#ССЫЛ!.$#ССЫЛ!$#ССЫЛ!];[$#ССЫЛ!.$#ССЫЛ!$#ССЫЛ!];[$#ССЫЛ!.$#ССЫЛ!$#ССЫЛ!])"</definedName>
    <definedName name="День_4_2" localSheetId="0">"([$#ССЫЛ!.$#ССЫЛ!$#ССЫЛ!];[$#ССЫЛ!.$#ССЫЛ!$#ССЫЛ!];[$#ССЫЛ!.$#ССЫЛ!$#ССЫЛ!])"</definedName>
    <definedName name="День_4_2">"([$#ССЫЛ!.$#ССЫЛ!$#ССЫЛ!];[$#ССЫЛ!.$#ССЫЛ!$#ССЫЛ!];[$#ССЫЛ!.$#ССЫЛ!$#ССЫЛ!])"</definedName>
    <definedName name="День_4_3" localSheetId="0">"([$#ССЫЛ!.$#ССЫЛ!$#ССЫЛ!];[$#ССЫЛ!.$#ССЫЛ!$#ССЫЛ!];[$#ССЫЛ!.$#ССЫЛ!$#ССЫЛ!])"</definedName>
    <definedName name="День_4_3">"([$#ССЫЛ!.$#ССЫЛ!$#ССЫЛ!];[$#ССЫЛ!.$#ССЫЛ!$#ССЫЛ!];[$#ССЫЛ!.$#ССЫЛ!$#ССЫЛ!])"</definedName>
    <definedName name="День_4_4" localSheetId="0">"([$#ССЫЛ!.$#ССЫЛ!$#ССЫЛ!];[$#ССЫЛ!.$#ССЫЛ!$#ССЫЛ!];[$#ССЫЛ!.$#ССЫЛ!$#ССЫЛ!])"</definedName>
    <definedName name="День_4_4">"([$#ССЫЛ!.$#ССЫЛ!$#ССЫЛ!];[$#ССЫЛ!.$#ССЫЛ!$#ССЫЛ!];[$#ССЫЛ!.$#ССЫЛ!$#ССЫЛ!])"</definedName>
    <definedName name="к" localSheetId="0">"[$#ССЫЛ!.$#ССЫЛ!$#ССЫЛ!]"</definedName>
    <definedName name="к">"[$#ССЫЛ!.$#ССЫЛ!$#ССЫЛ!]"</definedName>
    <definedName name="Колпино2" localSheetId="0">"[$#ССЫЛ!.$#ССЫЛ!$#ССЫЛ!]"</definedName>
    <definedName name="Колпино2">"[$#ССЫЛ!.$#ССЫЛ!$#ССЫЛ!]"</definedName>
    <definedName name="Лим.2000" localSheetId="0">"[$#ССЫЛ!.$#ССЫЛ!$#ССЫЛ!]"</definedName>
    <definedName name="Лим.2000">"[$#ССЫЛ!.$#ССЫЛ!$#ССЫЛ!]"</definedName>
    <definedName name="Лим.2000_1" localSheetId="0">"[$#ССЫЛ!.$#ССЫЛ!$#ССЫЛ!]"</definedName>
    <definedName name="Лим.2000_1">"[$#ССЫЛ!.$#ССЫЛ!$#ССЫЛ!]"</definedName>
    <definedName name="Лим.2000_1_1" localSheetId="0">"[$#ССЫЛ!.$#ССЫЛ!$#ССЫЛ!]"</definedName>
    <definedName name="Лим.2000_1_1">"[$#ССЫЛ!.$#ССЫЛ!$#ССЫЛ!]"</definedName>
    <definedName name="Лим.2000_2" localSheetId="0">"[$#ССЫЛ!.$#ССЫЛ!$#ССЫЛ!]"</definedName>
    <definedName name="Лим.2000_2">"[$#ССЫЛ!.$#ССЫЛ!$#ССЫЛ!]"</definedName>
    <definedName name="Лим.2000_2_1" localSheetId="0">"[$#ССЫЛ!.$#ССЫЛ!$#ССЫЛ!]"</definedName>
    <definedName name="Лим.2000_2_1">"[$#ССЫЛ!.$#ССЫЛ!$#ССЫЛ!]"</definedName>
    <definedName name="Лим.2000_2_1_1" localSheetId="0">"[$#ССЫЛ!.$#ССЫЛ!$#ССЫЛ!]"</definedName>
    <definedName name="Лим.2000_2_1_1">"[$#ССЫЛ!.$#ССЫЛ!$#ССЫЛ!]"</definedName>
    <definedName name="Лим.2000_2_2" localSheetId="0">"[$#ССЫЛ!.$#ССЫЛ!$#ССЫЛ!]"</definedName>
    <definedName name="Лим.2000_2_2">"[$#ССЫЛ!.$#ССЫЛ!$#ССЫЛ!]"</definedName>
    <definedName name="Лим.2000_3" localSheetId="0">"[$#ССЫЛ!.$#ССЫЛ!$#ССЫЛ!]"</definedName>
    <definedName name="Лим.2000_3">"[$#ССЫЛ!.$#ССЫЛ!$#ССЫЛ!]"</definedName>
    <definedName name="Лим.2000_3_1" localSheetId="0">"[$#ССЫЛ!.$#ССЫЛ!$#ССЫЛ!]"</definedName>
    <definedName name="Лим.2000_3_1">"[$#ССЫЛ!.$#ССЫЛ!$#ССЫЛ!]"</definedName>
    <definedName name="Лим.2000_3_1_1" localSheetId="0">"[$#ССЫЛ!.$#ССЫЛ!$#ССЫЛ!]"</definedName>
    <definedName name="Лим.2000_3_1_1">"[$#ССЫЛ!.$#ССЫЛ!$#ССЫЛ!]"</definedName>
    <definedName name="Лим.2000_3_1_2" localSheetId="0">"[$#ССЫЛ!.$#ССЫЛ!$#ССЫЛ!]"</definedName>
    <definedName name="Лим.2000_3_1_2">"[$#ССЫЛ!.$#ССЫЛ!$#ССЫЛ!]"</definedName>
    <definedName name="Лим.2000_3_1_3" localSheetId="0">"[$#ССЫЛ!.$#ССЫЛ!$#ССЫЛ!]"</definedName>
    <definedName name="Лим.2000_3_1_3">"[$#ССЫЛ!.$#ССЫЛ!$#ССЫЛ!]"</definedName>
    <definedName name="Лим.2000_3_1_4" localSheetId="0">"[$#ССЫЛ!.$#ССЫЛ!$#ССЫЛ!]"</definedName>
    <definedName name="Лим.2000_3_1_4">"[$#ССЫЛ!.$#ССЫЛ!$#ССЫЛ!]"</definedName>
    <definedName name="Лим.2000_3_2" localSheetId="0">"[$#ССЫЛ!.$#ССЫЛ!$#ССЫЛ!]"</definedName>
    <definedName name="Лим.2000_3_2">"[$#ССЫЛ!.$#ССЫЛ!$#ССЫЛ!]"</definedName>
    <definedName name="Лим.2000_3_3" localSheetId="0">"[$#ССЫЛ!.$#ССЫЛ!$#ССЫЛ!]"</definedName>
    <definedName name="Лим.2000_3_3">"[$#ССЫЛ!.$#ССЫЛ!$#ССЫЛ!]"</definedName>
    <definedName name="Лим.2000_3_4" localSheetId="0">"[$#ССЫЛ!.$#ССЫЛ!$#ССЫЛ!]"</definedName>
    <definedName name="Лим.2000_3_4">"[$#ССЫЛ!.$#ССЫЛ!$#ССЫЛ!]"</definedName>
    <definedName name="Лим.2000_4" localSheetId="0">"[$#ССЫЛ!.$#ССЫЛ!$#ССЫЛ!]"</definedName>
    <definedName name="Лим.2000_4">"[$#ССЫЛ!.$#ССЫЛ!$#ССЫЛ!]"</definedName>
    <definedName name="Лимит" localSheetId="0">"[$#ССЫЛ!.$#ССЫЛ!$#ССЫЛ!]"</definedName>
    <definedName name="Лимит">"[$#ССЫЛ!.$#ССЫЛ!$#ССЫЛ!]"</definedName>
    <definedName name="Лимит_1" localSheetId="0">"[$#ССЫЛ!.$#ССЫЛ!$#ССЫЛ!]"</definedName>
    <definedName name="Лимит_1">"[$#ССЫЛ!.$#ССЫЛ!$#ССЫЛ!]"</definedName>
    <definedName name="Лимит_1_1" localSheetId="0">"[$#ССЫЛ!.$#ССЫЛ!$#ССЫЛ!]"</definedName>
    <definedName name="Лимит_1_1">"[$#ССЫЛ!.$#ССЫЛ!$#ССЫЛ!]"</definedName>
    <definedName name="Лимит_2" localSheetId="0">"[$#ССЫЛ!.$#ССЫЛ!$#ССЫЛ!]"</definedName>
    <definedName name="Лимит_2">"[$#ССЫЛ!.$#ССЫЛ!$#ССЫЛ!]"</definedName>
    <definedName name="Лимит_2_1" localSheetId="0">"[$#ССЫЛ!.$#ССЫЛ!$#ССЫЛ!]"</definedName>
    <definedName name="Лимит_2_1">"[$#ССЫЛ!.$#ССЫЛ!$#ССЫЛ!]"</definedName>
    <definedName name="Лимит_2_1_1" localSheetId="0">"[$#ССЫЛ!.$#ССЫЛ!$#ССЫЛ!]"</definedName>
    <definedName name="Лимит_2_1_1">"[$#ССЫЛ!.$#ССЫЛ!$#ССЫЛ!]"</definedName>
    <definedName name="Лимит_2_2" localSheetId="0">"[$#ССЫЛ!.$#ССЫЛ!$#ССЫЛ!]"</definedName>
    <definedName name="Лимит_2_2">"[$#ССЫЛ!.$#ССЫЛ!$#ССЫЛ!]"</definedName>
    <definedName name="Лимит_3" localSheetId="0">"[$#ССЫЛ!.$#ССЫЛ!$#ССЫЛ!]"</definedName>
    <definedName name="Лимит_3">"[$#ССЫЛ!.$#ССЫЛ!$#ССЫЛ!]"</definedName>
    <definedName name="Лимит_3_1" localSheetId="0">"[$#ССЫЛ!.$#ССЫЛ!$#ССЫЛ!]"</definedName>
    <definedName name="Лимит_3_1">"[$#ССЫЛ!.$#ССЫЛ!$#ССЫЛ!]"</definedName>
    <definedName name="Лимит_3_1_1" localSheetId="0">"[$#ССЫЛ!.$#ССЫЛ!$#ССЫЛ!]"</definedName>
    <definedName name="Лимит_3_1_1">"[$#ССЫЛ!.$#ССЫЛ!$#ССЫЛ!]"</definedName>
    <definedName name="Лимит_3_1_2" localSheetId="0">"[$#ССЫЛ!.$#ССЫЛ!$#ССЫЛ!]"</definedName>
    <definedName name="Лимит_3_1_2">"[$#ССЫЛ!.$#ССЫЛ!$#ССЫЛ!]"</definedName>
    <definedName name="Лимит_3_1_3" localSheetId="0">"[$#ССЫЛ!.$#ССЫЛ!$#ССЫЛ!]"</definedName>
    <definedName name="Лимит_3_1_3">"[$#ССЫЛ!.$#ССЫЛ!$#ССЫЛ!]"</definedName>
    <definedName name="Лимит_3_1_4" localSheetId="0">"[$#ССЫЛ!.$#ССЫЛ!$#ССЫЛ!]"</definedName>
    <definedName name="Лимит_3_1_4">"[$#ССЫЛ!.$#ССЫЛ!$#ССЫЛ!]"</definedName>
    <definedName name="Лимит_3_2" localSheetId="0">"[$#ССЫЛ!.$#ССЫЛ!$#ССЫЛ!]"</definedName>
    <definedName name="Лимит_3_2">"[$#ССЫЛ!.$#ССЫЛ!$#ССЫЛ!]"</definedName>
    <definedName name="Лимит_3_3" localSheetId="0">"[$#ССЫЛ!.$#ССЫЛ!$#ССЫЛ!]"</definedName>
    <definedName name="Лимит_3_3">"[$#ССЫЛ!.$#ССЫЛ!$#ССЫЛ!]"</definedName>
    <definedName name="Лимит_3_4" localSheetId="0">"[$#ССЫЛ!.$#ССЫЛ!$#ССЫЛ!]"</definedName>
    <definedName name="Лимит_3_4">"[$#ССЫЛ!.$#ССЫЛ!$#ССЫЛ!]"</definedName>
    <definedName name="Лимит_4" localSheetId="0">"[$#ССЫЛ!.$#ССЫЛ!$#ССЫЛ!]"</definedName>
    <definedName name="Лимит_4">"[$#ССЫЛ!.$#ССЫЛ!$#ССЫЛ!]"</definedName>
    <definedName name="М" localSheetId="0">"[$#ССЫЛ!.$#ССЫЛ!$#ССЫЛ!]"</definedName>
    <definedName name="М">"[$#ССЫЛ!.$#ССЫЛ!$#ССЫЛ!]"</definedName>
    <definedName name="М_1" localSheetId="0">"[$#ССЫЛ!.$#ССЫЛ!$#ССЫЛ!]"</definedName>
    <definedName name="М_1">"[$#ССЫЛ!.$#ССЫЛ!$#ССЫЛ!]"</definedName>
    <definedName name="М_2" localSheetId="0">"[$#ССЫЛ!.$#ССЫЛ!$#ССЫЛ!]"</definedName>
    <definedName name="М_2">"[$#ССЫЛ!.$#ССЫЛ!$#ССЫЛ!]"</definedName>
    <definedName name="М_2_1" localSheetId="0">"[$#ССЫЛ!.$#ССЫЛ!$#ССЫЛ!]"</definedName>
    <definedName name="М_2_1">"[$#ССЫЛ!.$#ССЫЛ!$#ССЫЛ!]"</definedName>
    <definedName name="М_2_2" localSheetId="0">"[$#ССЫЛ!.$#ССЫЛ!$#ССЫЛ!]"</definedName>
    <definedName name="М_2_2">"[$#ССЫЛ!.$#ССЫЛ!$#ССЫЛ!]"</definedName>
    <definedName name="М_3" localSheetId="0">"[$#ССЫЛ!.$#ССЫЛ!$#ССЫЛ!]"</definedName>
    <definedName name="М_3">"[$#ССЫЛ!.$#ССЫЛ!$#ССЫЛ!]"</definedName>
    <definedName name="М_3_1" localSheetId="0">"[$#ССЫЛ!.$#ССЫЛ!$#ССЫЛ!]"</definedName>
    <definedName name="М_3_1">"[$#ССЫЛ!.$#ССЫЛ!$#ССЫЛ!]"</definedName>
    <definedName name="М_3_1_2" localSheetId="0">"[$#ССЫЛ!.$#ССЫЛ!$#ССЫЛ!]"</definedName>
    <definedName name="М_3_1_2">"[$#ССЫЛ!.$#ССЫЛ!$#ССЫЛ!]"</definedName>
    <definedName name="М_3_1_3" localSheetId="0">"[$#ССЫЛ!.$#ССЫЛ!$#ССЫЛ!]"</definedName>
    <definedName name="М_3_1_3">"[$#ССЫЛ!.$#ССЫЛ!$#ССЫЛ!]"</definedName>
    <definedName name="М_3_1_4" localSheetId="0">"[$#ССЫЛ!.$#ССЫЛ!$#ССЫЛ!]"</definedName>
    <definedName name="М_3_1_4">"[$#ССЫЛ!.$#ССЫЛ!$#ССЫЛ!]"</definedName>
    <definedName name="М_3_2" localSheetId="0">"[$#ССЫЛ!.$#ССЫЛ!$#ССЫЛ!]"</definedName>
    <definedName name="М_3_2">"[$#ССЫЛ!.$#ССЫЛ!$#ССЫЛ!]"</definedName>
    <definedName name="М_3_3" localSheetId="0">"[$#ССЫЛ!.$#ССЫЛ!$#ССЫЛ!]"</definedName>
    <definedName name="М_3_3">"[$#ССЫЛ!.$#ССЫЛ!$#ССЫЛ!]"</definedName>
    <definedName name="М_3_4" localSheetId="0">"[$#ССЫЛ!.$#ССЫЛ!$#ССЫЛ!]"</definedName>
    <definedName name="М_3_4">"[$#ССЫЛ!.$#ССЫЛ!$#ССЫЛ!]"</definedName>
    <definedName name="Московский" localSheetId="0">"[$#ССЫЛ!.$#ССЫЛ!$#ССЫЛ!]"</definedName>
    <definedName name="Московский">"[$#ССЫЛ!.$#ССЫЛ!$#ССЫЛ!]"</definedName>
    <definedName name="Московский_1" localSheetId="0">"[$#ССЫЛ!.$#ССЫЛ!$#ССЫЛ!]"</definedName>
    <definedName name="Московский_1">"[$#ССЫЛ!.$#ССЫЛ!$#ССЫЛ!]"</definedName>
    <definedName name="Московский_2" localSheetId="0">"[$#ССЫЛ!.$#ССЫЛ!$#ССЫЛ!]"</definedName>
    <definedName name="Московский_2">"[$#ССЫЛ!.$#ССЫЛ!$#ССЫЛ!]"</definedName>
    <definedName name="Московский_2_1" localSheetId="0">"[$#ССЫЛ!.$#ССЫЛ!$#ССЫЛ!]"</definedName>
    <definedName name="Московский_2_1">"[$#ССЫЛ!.$#ССЫЛ!$#ССЫЛ!]"</definedName>
    <definedName name="Московский_2_2" localSheetId="0">"[$#ССЫЛ!.$#ССЫЛ!$#ССЫЛ!]"</definedName>
    <definedName name="Московский_2_2">"[$#ССЫЛ!.$#ССЫЛ!$#ССЫЛ!]"</definedName>
    <definedName name="Московский_3" localSheetId="0">"[$#ССЫЛ!.$#ССЫЛ!$#ССЫЛ!]"</definedName>
    <definedName name="Московский_3">"[$#ССЫЛ!.$#ССЫЛ!$#ССЫЛ!]"</definedName>
    <definedName name="Московский_3_1" localSheetId="0">"[$#ССЫЛ!.$#ССЫЛ!$#ССЫЛ!]"</definedName>
    <definedName name="Московский_3_1">"[$#ССЫЛ!.$#ССЫЛ!$#ССЫЛ!]"</definedName>
    <definedName name="Московский_3_1_2" localSheetId="0">"[$#ССЫЛ!.$#ССЫЛ!$#ССЫЛ!]"</definedName>
    <definedName name="Московский_3_1_2">"[$#ССЫЛ!.$#ССЫЛ!$#ССЫЛ!]"</definedName>
    <definedName name="Московский_3_1_3" localSheetId="0">"[$#ССЫЛ!.$#ССЫЛ!$#ССЫЛ!]"</definedName>
    <definedName name="Московский_3_1_3">"[$#ССЫЛ!.$#ССЫЛ!$#ССЫЛ!]"</definedName>
    <definedName name="Московский_3_1_4" localSheetId="0">"[$#ССЫЛ!.$#ССЫЛ!$#ССЫЛ!]"</definedName>
    <definedName name="Московский_3_1_4">"[$#ССЫЛ!.$#ССЫЛ!$#ССЫЛ!]"</definedName>
    <definedName name="Московский_3_2" localSheetId="0">"[$#ССЫЛ!.$#ССЫЛ!$#ССЫЛ!]"</definedName>
    <definedName name="Московский_3_2">"[$#ССЫЛ!.$#ССЫЛ!$#ССЫЛ!]"</definedName>
    <definedName name="Московский_3_3" localSheetId="0">"[$#ССЫЛ!.$#ССЫЛ!$#ССЫЛ!]"</definedName>
    <definedName name="Московский_3_3">"[$#ССЫЛ!.$#ССЫЛ!$#ССЫЛ!]"</definedName>
    <definedName name="Московский_3_4" localSheetId="0">"[$#ССЫЛ!.$#ССЫЛ!$#ССЫЛ!]"</definedName>
    <definedName name="Московский_3_4">"[$#ССЫЛ!.$#ССЫЛ!$#ССЫЛ!]"</definedName>
    <definedName name="невс" localSheetId="0">"[$#ССЫЛ!.$#ССЫЛ!$#ССЫЛ!]"</definedName>
    <definedName name="невс">"[$#ССЫЛ!.$#ССЫЛ!$#ССЫЛ!]"</definedName>
    <definedName name="невский" localSheetId="0">"[$#ССЫЛ!.$#ССЫЛ!$#ССЫЛ!]"</definedName>
    <definedName name="невский">"[$#ССЫЛ!.$#ССЫЛ!$#ССЫЛ!]"</definedName>
    <definedName name="_xlnm.Print_Area" localSheetId="0">'Петроградский'!$A$2:$CO$314</definedName>
    <definedName name="Петродворцовое" localSheetId="0">"[$#ССЫЛ!.$#ССЫЛ!$#ССЫЛ!]"</definedName>
    <definedName name="Петродворцовое">"[$#ССЫЛ!.$#ССЫЛ!$#ССЫЛ!]"</definedName>
    <definedName name="Петродворцовое_1" localSheetId="0">"[$#ССЫЛ!.$#ССЫЛ!$#ССЫЛ!]"</definedName>
    <definedName name="Петродворцовое_1">"[$#ССЫЛ!.$#ССЫЛ!$#ССЫЛ!]"</definedName>
    <definedName name="Петродворцовое_2" localSheetId="0">"[$#ССЫЛ!.$#ССЫЛ!$#ССЫЛ!]"</definedName>
    <definedName name="Петродворцовое_2">"[$#ССЫЛ!.$#ССЫЛ!$#ССЫЛ!]"</definedName>
    <definedName name="Петродворцовое_2_1" localSheetId="0">"[$#ССЫЛ!.$#ССЫЛ!$#ССЫЛ!]"</definedName>
    <definedName name="Петродворцовое_2_1">"[$#ССЫЛ!.$#ССЫЛ!$#ССЫЛ!]"</definedName>
    <definedName name="Петродворцовое_2_2" localSheetId="0">"[$#ССЫЛ!.$#ССЫЛ!$#ССЫЛ!]"</definedName>
    <definedName name="Петродворцовое_2_2">"[$#ССЫЛ!.$#ССЫЛ!$#ССЫЛ!]"</definedName>
    <definedName name="Петродворцовое_3" localSheetId="0">"[$#ССЫЛ!.$#ССЫЛ!$#ССЫЛ!]"</definedName>
    <definedName name="Петродворцовое_3">"[$#ССЫЛ!.$#ССЫЛ!$#ССЫЛ!]"</definedName>
    <definedName name="Петродворцовое_3_1" localSheetId="0">"[$#ССЫЛ!.$#ССЫЛ!$#ССЫЛ!]"</definedName>
    <definedName name="Петродворцовое_3_1">"[$#ССЫЛ!.$#ССЫЛ!$#ССЫЛ!]"</definedName>
    <definedName name="Петродворцовое_3_1_2" localSheetId="0">"[$#ССЫЛ!.$#ССЫЛ!$#ССЫЛ!]"</definedName>
    <definedName name="Петродворцовое_3_1_2">"[$#ССЫЛ!.$#ССЫЛ!$#ССЫЛ!]"</definedName>
    <definedName name="Петродворцовое_3_1_3" localSheetId="0">"[$#ССЫЛ!.$#ССЫЛ!$#ССЫЛ!]"</definedName>
    <definedName name="Петродворцовое_3_1_3">"[$#ССЫЛ!.$#ССЫЛ!$#ССЫЛ!]"</definedName>
    <definedName name="Петродворцовое_3_1_4" localSheetId="0">"[$#ССЫЛ!.$#ССЫЛ!$#ССЫЛ!]"</definedName>
    <definedName name="Петродворцовое_3_1_4">"[$#ССЫЛ!.$#ССЫЛ!$#ССЫЛ!]"</definedName>
    <definedName name="Петродворцовое_3_2" localSheetId="0">"[$#ССЫЛ!.$#ССЫЛ!$#ССЫЛ!]"</definedName>
    <definedName name="Петродворцовое_3_2">"[$#ССЫЛ!.$#ССЫЛ!$#ССЫЛ!]"</definedName>
    <definedName name="Петродворцовое_3_3" localSheetId="0">"[$#ССЫЛ!.$#ССЫЛ!$#ССЫЛ!]"</definedName>
    <definedName name="Петродворцовое_3_3">"[$#ССЫЛ!.$#ССЫЛ!$#ССЫЛ!]"</definedName>
    <definedName name="Петродворцовое_3_4" localSheetId="0">"[$#ССЫЛ!.$#ССЫЛ!$#ССЫЛ!]"</definedName>
    <definedName name="Петродворцовое_3_4">"[$#ССЫЛ!.$#ССЫЛ!$#ССЫЛ!]"</definedName>
    <definedName name="Пл" localSheetId="0">"[$#ССЫЛ!.$#ССЫЛ!$#ССЫЛ!]"</definedName>
    <definedName name="Пл">"[$#ССЫЛ!.$#ССЫЛ!$#ССЫЛ!]"</definedName>
    <definedName name="Пл." localSheetId="0">"[$#ССЫЛ!.$#ССЫЛ!$#ССЫЛ!]"</definedName>
    <definedName name="Пл.">"[$#ССЫЛ!.$#ССЫЛ!$#ССЫЛ!]"</definedName>
    <definedName name="Пл._1" localSheetId="0">"[$#ССЫЛ!.$#ССЫЛ!$#ССЫЛ!]"</definedName>
    <definedName name="Пл._1">"[$#ССЫЛ!.$#ССЫЛ!$#ССЫЛ!]"</definedName>
    <definedName name="Пл._1_1" localSheetId="0">"[$#ССЫЛ!.$#ССЫЛ!$#ССЫЛ!]"</definedName>
    <definedName name="Пл._1_1">"[$#ССЫЛ!.$#ССЫЛ!$#ССЫЛ!]"</definedName>
    <definedName name="Пл._2" localSheetId="0">"[$#ССЫЛ!.$#ССЫЛ!$#ССЫЛ!]"</definedName>
    <definedName name="Пл._2">"[$#ССЫЛ!.$#ССЫЛ!$#ССЫЛ!]"</definedName>
    <definedName name="Пл._2_1" localSheetId="0">"[$#ССЫЛ!.$#ССЫЛ!$#ССЫЛ!]"</definedName>
    <definedName name="Пл._2_1">"[$#ССЫЛ!.$#ССЫЛ!$#ССЫЛ!]"</definedName>
    <definedName name="Пл._2_1_1" localSheetId="0">"[$#ССЫЛ!.$#ССЫЛ!$#ССЫЛ!]"</definedName>
    <definedName name="Пл._2_1_1">"[$#ССЫЛ!.$#ССЫЛ!$#ССЫЛ!]"</definedName>
    <definedName name="Пл._2_2" localSheetId="0">"[$#ССЫЛ!.$#ССЫЛ!$#ССЫЛ!]"</definedName>
    <definedName name="Пл._2_2">"[$#ССЫЛ!.$#ССЫЛ!$#ССЫЛ!]"</definedName>
    <definedName name="Пл._3" localSheetId="0">"[$#ССЫЛ!.$#ССЫЛ!$#ССЫЛ!]"</definedName>
    <definedName name="Пл._3">"[$#ССЫЛ!.$#ССЫЛ!$#ССЫЛ!]"</definedName>
    <definedName name="Пл._3_1" localSheetId="0">"[$#ССЫЛ!.$#ССЫЛ!$#ССЫЛ!]"</definedName>
    <definedName name="Пл._3_1">"[$#ССЫЛ!.$#ССЫЛ!$#ССЫЛ!]"</definedName>
    <definedName name="Пл._3_1_1" localSheetId="0">"[$#ССЫЛ!.$#ССЫЛ!$#ССЫЛ!]"</definedName>
    <definedName name="Пл._3_1_1">"[$#ССЫЛ!.$#ССЫЛ!$#ССЫЛ!]"</definedName>
    <definedName name="Пл._3_1_2" localSheetId="0">"[$#ССЫЛ!.$#ССЫЛ!$#ССЫЛ!]"</definedName>
    <definedName name="Пл._3_1_2">"[$#ССЫЛ!.$#ССЫЛ!$#ССЫЛ!]"</definedName>
    <definedName name="Пл._3_1_3" localSheetId="0">"[$#ССЫЛ!.$#ССЫЛ!$#ССЫЛ!]"</definedName>
    <definedName name="Пл._3_1_3">"[$#ССЫЛ!.$#ССЫЛ!$#ССЫЛ!]"</definedName>
    <definedName name="Пл._3_1_4" localSheetId="0">"[$#ССЫЛ!.$#ССЫЛ!$#ССЫЛ!]"</definedName>
    <definedName name="Пл._3_1_4">"[$#ССЫЛ!.$#ССЫЛ!$#ССЫЛ!]"</definedName>
    <definedName name="Пл._3_2" localSheetId="0">"[$#ССЫЛ!.$#ССЫЛ!$#ССЫЛ!]"</definedName>
    <definedName name="Пл._3_2">"[$#ССЫЛ!.$#ССЫЛ!$#ССЫЛ!]"</definedName>
    <definedName name="Пл._3_3" localSheetId="0">"[$#ССЫЛ!.$#ССЫЛ!$#ССЫЛ!]"</definedName>
    <definedName name="Пл._3_3">"[$#ССЫЛ!.$#ССЫЛ!$#ССЫЛ!]"</definedName>
    <definedName name="Пл._3_4" localSheetId="0">"[$#ССЫЛ!.$#ССЫЛ!$#ССЫЛ!]"</definedName>
    <definedName name="Пл._3_4">"[$#ССЫЛ!.$#ССЫЛ!$#ССЫЛ!]"</definedName>
    <definedName name="Пл._4" localSheetId="0">"[$#ССЫЛ!.$#ССЫЛ!$#ССЫЛ!]"</definedName>
    <definedName name="Пл._4">"[$#ССЫЛ!.$#ССЫЛ!$#ССЫЛ!]"</definedName>
    <definedName name="Пл.2001г.общий" localSheetId="0">"[$#ССЫЛ!.$#ССЫЛ!$#ССЫЛ!]"</definedName>
    <definedName name="Пл.2001г.общий">"[$#ССЫЛ!.$#ССЫЛ!$#ССЫЛ!]"</definedName>
    <definedName name="Пл.2001г.общий_1" localSheetId="0">"[$#ССЫЛ!.$#ССЫЛ!$#ССЫЛ!]"</definedName>
    <definedName name="Пл.2001г.общий_1">"[$#ССЫЛ!.$#ССЫЛ!$#ССЫЛ!]"</definedName>
    <definedName name="Пл.2001г.общий_1_1" localSheetId="0">"[$#ССЫЛ!.$#ССЫЛ!$#ССЫЛ!]"</definedName>
    <definedName name="Пл.2001г.общий_1_1">"[$#ССЫЛ!.$#ССЫЛ!$#ССЫЛ!]"</definedName>
    <definedName name="Пл.2001г.общий_2" localSheetId="0">"[$#ССЫЛ!.$#ССЫЛ!$#ССЫЛ!]"</definedName>
    <definedName name="Пл.2001г.общий_2">"[$#ССЫЛ!.$#ССЫЛ!$#ССЫЛ!]"</definedName>
    <definedName name="Пл.2001г.общий_2_1" localSheetId="0">"[$#ССЫЛ!.$#ССЫЛ!$#ССЫЛ!]"</definedName>
    <definedName name="Пл.2001г.общий_2_1">"[$#ССЫЛ!.$#ССЫЛ!$#ССЫЛ!]"</definedName>
    <definedName name="Пл.2001г.общий_2_1_1" localSheetId="0">"[$#ССЫЛ!.$#ССЫЛ!$#ССЫЛ!]"</definedName>
    <definedName name="Пл.2001г.общий_2_1_1">"[$#ССЫЛ!.$#ССЫЛ!$#ССЫЛ!]"</definedName>
    <definedName name="Пл.2001г.общий_2_2" localSheetId="0">"[$#ССЫЛ!.$#ССЫЛ!$#ССЫЛ!]"</definedName>
    <definedName name="Пл.2001г.общий_2_2">"[$#ССЫЛ!.$#ССЫЛ!$#ССЫЛ!]"</definedName>
    <definedName name="Пл.2001г.общий_3" localSheetId="0">"[$#ССЫЛ!.$#ССЫЛ!$#ССЫЛ!]"</definedName>
    <definedName name="Пл.2001г.общий_3">"[$#ССЫЛ!.$#ССЫЛ!$#ССЫЛ!]"</definedName>
    <definedName name="Пл.2001г.общий_3_1" localSheetId="0">"[$#ССЫЛ!.$#ССЫЛ!$#ССЫЛ!]"</definedName>
    <definedName name="Пл.2001г.общий_3_1">"[$#ССЫЛ!.$#ССЫЛ!$#ССЫЛ!]"</definedName>
    <definedName name="Пл.2001г.общий_3_1_1" localSheetId="0">"[$#ССЫЛ!.$#ССЫЛ!$#ССЫЛ!]"</definedName>
    <definedName name="Пл.2001г.общий_3_1_1">"[$#ССЫЛ!.$#ССЫЛ!$#ССЫЛ!]"</definedName>
    <definedName name="Пл.2001г.общий_3_1_2" localSheetId="0">"[$#ССЫЛ!.$#ССЫЛ!$#ССЫЛ!]"</definedName>
    <definedName name="Пл.2001г.общий_3_1_2">"[$#ССЫЛ!.$#ССЫЛ!$#ССЫЛ!]"</definedName>
    <definedName name="Пл.2001г.общий_3_1_3" localSheetId="0">"[$#ССЫЛ!.$#ССЫЛ!$#ССЫЛ!]"</definedName>
    <definedName name="Пл.2001г.общий_3_1_3">"[$#ССЫЛ!.$#ССЫЛ!$#ССЫЛ!]"</definedName>
    <definedName name="Пл.2001г.общий_3_1_4" localSheetId="0">"[$#ССЫЛ!.$#ССЫЛ!$#ССЫЛ!]"</definedName>
    <definedName name="Пл.2001г.общий_3_1_4">"[$#ССЫЛ!.$#ССЫЛ!$#ССЫЛ!]"</definedName>
    <definedName name="Пл.2001г.общий_3_2" localSheetId="0">"[$#ССЫЛ!.$#ССЫЛ!$#ССЫЛ!]"</definedName>
    <definedName name="Пл.2001г.общий_3_2">"[$#ССЫЛ!.$#ССЫЛ!$#ССЫЛ!]"</definedName>
    <definedName name="Пл.2001г.общий_3_3" localSheetId="0">"[$#ССЫЛ!.$#ССЫЛ!$#ССЫЛ!]"</definedName>
    <definedName name="Пл.2001г.общий_3_3">"[$#ССЫЛ!.$#ССЫЛ!$#ССЫЛ!]"</definedName>
    <definedName name="Пл.2001г.общий_3_4" localSheetId="0">"[$#ССЫЛ!.$#ССЫЛ!$#ССЫЛ!]"</definedName>
    <definedName name="Пл.2001г.общий_3_4">"[$#ССЫЛ!.$#ССЫЛ!$#ССЫЛ!]"</definedName>
    <definedName name="Пл.2001г.общий_4" localSheetId="0">"[$#ССЫЛ!.$#ССЫЛ!$#ССЫЛ!]"</definedName>
    <definedName name="Пл.2001г.общий_4">"[$#ССЫЛ!.$#ССЫЛ!$#ССЫЛ!]"</definedName>
    <definedName name="Пл.ГБ2001г." localSheetId="0">"[$#ССЫЛ!.$#ССЫЛ!$#ССЫЛ!]"</definedName>
    <definedName name="Пл.ГБ2001г.">"[$#ССЫЛ!.$#ССЫЛ!$#ССЫЛ!]"</definedName>
    <definedName name="Пл.ГБ2001г._1" localSheetId="0">"[$#ССЫЛ!.$#ССЫЛ!$#ССЫЛ!]"</definedName>
    <definedName name="Пл.ГБ2001г._1">"[$#ССЫЛ!.$#ССЫЛ!$#ССЫЛ!]"</definedName>
    <definedName name="Пл.ГБ2001г._1_1" localSheetId="0">"[$#ССЫЛ!.$#ССЫЛ!$#ССЫЛ!]"</definedName>
    <definedName name="Пл.ГБ2001г._1_1">"[$#ССЫЛ!.$#ССЫЛ!$#ССЫЛ!]"</definedName>
    <definedName name="Пл.ГБ2001г._2" localSheetId="0">"[$#ССЫЛ!.$#ССЫЛ!$#ССЫЛ!]"</definedName>
    <definedName name="Пл.ГБ2001г._2">"[$#ССЫЛ!.$#ССЫЛ!$#ССЫЛ!]"</definedName>
    <definedName name="Пл.ГБ2001г._2_1" localSheetId="0">"[$#ССЫЛ!.$#ССЫЛ!$#ССЫЛ!]"</definedName>
    <definedName name="Пл.ГБ2001г._2_1">"[$#ССЫЛ!.$#ССЫЛ!$#ССЫЛ!]"</definedName>
    <definedName name="Пл.ГБ2001г._2_1_1" localSheetId="0">"[$#ССЫЛ!.$#ССЫЛ!$#ССЫЛ!]"</definedName>
    <definedName name="Пл.ГБ2001г._2_1_1">"[$#ССЫЛ!.$#ССЫЛ!$#ССЫЛ!]"</definedName>
    <definedName name="Пл.ГБ2001г._2_2" localSheetId="0">"[$#ССЫЛ!.$#ССЫЛ!$#ССЫЛ!]"</definedName>
    <definedName name="Пл.ГБ2001г._2_2">"[$#ССЫЛ!.$#ССЫЛ!$#ССЫЛ!]"</definedName>
    <definedName name="Пл.ГБ2001г._3" localSheetId="0">"[$#ССЫЛ!.$#ССЫЛ!$#ССЫЛ!]"</definedName>
    <definedName name="Пл.ГБ2001г._3">"[$#ССЫЛ!.$#ССЫЛ!$#ССЫЛ!]"</definedName>
    <definedName name="Пл.ГБ2001г._3_1" localSheetId="0">"[$#ССЫЛ!.$#ССЫЛ!$#ССЫЛ!]"</definedName>
    <definedName name="Пл.ГБ2001г._3_1">"[$#ССЫЛ!.$#ССЫЛ!$#ССЫЛ!]"</definedName>
    <definedName name="Пл.ГБ2001г._3_1_1" localSheetId="0">"[$#ССЫЛ!.$#ССЫЛ!$#ССЫЛ!]"</definedName>
    <definedName name="Пл.ГБ2001г._3_1_1">"[$#ССЫЛ!.$#ССЫЛ!$#ССЫЛ!]"</definedName>
    <definedName name="Пл.ГБ2001г._3_1_2" localSheetId="0">"[$#ССЫЛ!.$#ССЫЛ!$#ССЫЛ!]"</definedName>
    <definedName name="Пл.ГБ2001г._3_1_2">"[$#ССЫЛ!.$#ССЫЛ!$#ССЫЛ!]"</definedName>
    <definedName name="Пл.ГБ2001г._3_1_3" localSheetId="0">"[$#ССЫЛ!.$#ССЫЛ!$#ССЫЛ!]"</definedName>
    <definedName name="Пл.ГБ2001г._3_1_3">"[$#ССЫЛ!.$#ССЫЛ!$#ССЫЛ!]"</definedName>
    <definedName name="Пл.ГБ2001г._3_1_4" localSheetId="0">"[$#ССЫЛ!.$#ССЫЛ!$#ССЫЛ!]"</definedName>
    <definedName name="Пл.ГБ2001г._3_1_4">"[$#ССЫЛ!.$#ССЫЛ!$#ССЫЛ!]"</definedName>
    <definedName name="Пл.ГБ2001г._3_2" localSheetId="0">"[$#ССЫЛ!.$#ССЫЛ!$#ССЫЛ!]"</definedName>
    <definedName name="Пл.ГБ2001г._3_2">"[$#ССЫЛ!.$#ССЫЛ!$#ССЫЛ!]"</definedName>
    <definedName name="Пл.ГБ2001г._3_3" localSheetId="0">"[$#ССЫЛ!.$#ССЫЛ!$#ССЫЛ!]"</definedName>
    <definedName name="Пл.ГБ2001г._3_3">"[$#ССЫЛ!.$#ССЫЛ!$#ССЫЛ!]"</definedName>
    <definedName name="Пл.ГБ2001г._3_4" localSheetId="0">"[$#ССЫЛ!.$#ССЫЛ!$#ССЫЛ!]"</definedName>
    <definedName name="Пл.ГБ2001г._3_4">"[$#ССЫЛ!.$#ССЫЛ!$#ССЫЛ!]"</definedName>
    <definedName name="Пл.ГБ2001г._4" localSheetId="0">"[$#ССЫЛ!.$#ССЫЛ!$#ССЫЛ!]"</definedName>
    <definedName name="Пл.ГБ2001г._4">"[$#ССЫЛ!.$#ССЫЛ!$#ССЫЛ!]"</definedName>
    <definedName name="Пл.полн.адр.пр.ТДФ" localSheetId="0">"[$#ССЫЛ!.$#ССЫЛ!$#ССЫЛ!]"</definedName>
    <definedName name="Пл.полн.адр.пр.ТДФ">"[$#ССЫЛ!.$#ССЫЛ!$#ССЫЛ!]"</definedName>
    <definedName name="Пл.полн.адр.пр.ТДФ_1" localSheetId="0">"[$#ССЫЛ!.$#ССЫЛ!$#ССЫЛ!]"</definedName>
    <definedName name="Пл.полн.адр.пр.ТДФ_1">"[$#ССЫЛ!.$#ССЫЛ!$#ССЫЛ!]"</definedName>
    <definedName name="Пл.полн.адр.пр.ТДФ_1_1" localSheetId="0">"[$#ССЫЛ!.$#ССЫЛ!$#ССЫЛ!]"</definedName>
    <definedName name="Пл.полн.адр.пр.ТДФ_1_1">"[$#ССЫЛ!.$#ССЫЛ!$#ССЫЛ!]"</definedName>
    <definedName name="Пл.полн.адр.пр.ТДФ_2" localSheetId="0">"[$#ССЫЛ!.$#ССЫЛ!$#ССЫЛ!]"</definedName>
    <definedName name="Пл.полн.адр.пр.ТДФ_2">"[$#ССЫЛ!.$#ССЫЛ!$#ССЫЛ!]"</definedName>
    <definedName name="Пл.полн.адр.пр.ТДФ_2_1" localSheetId="0">"[$#ССЫЛ!.$#ССЫЛ!$#ССЫЛ!]"</definedName>
    <definedName name="Пл.полн.адр.пр.ТДФ_2_1">"[$#ССЫЛ!.$#ССЫЛ!$#ССЫЛ!]"</definedName>
    <definedName name="Пл.полн.адр.пр.ТДФ_2_1_1" localSheetId="0">"[$#ССЫЛ!.$#ССЫЛ!$#ССЫЛ!]"</definedName>
    <definedName name="Пл.полн.адр.пр.ТДФ_2_1_1">"[$#ССЫЛ!.$#ССЫЛ!$#ССЫЛ!]"</definedName>
    <definedName name="Пл.полн.адр.пр.ТДФ_2_2" localSheetId="0">"[$#ССЫЛ!.$#ССЫЛ!$#ССЫЛ!]"</definedName>
    <definedName name="Пл.полн.адр.пр.ТДФ_2_2">"[$#ССЫЛ!.$#ССЫЛ!$#ССЫЛ!]"</definedName>
    <definedName name="Пл.полн.адр.пр.ТДФ_3" localSheetId="0">"[$#ССЫЛ!.$#ССЫЛ!$#ССЫЛ!]"</definedName>
    <definedName name="Пл.полн.адр.пр.ТДФ_3">"[$#ССЫЛ!.$#ССЫЛ!$#ССЫЛ!]"</definedName>
    <definedName name="Пл.полн.адр.пр.ТДФ_3_1" localSheetId="0">"[$#ССЫЛ!.$#ССЫЛ!$#ССЫЛ!]"</definedName>
    <definedName name="Пл.полн.адр.пр.ТДФ_3_1">"[$#ССЫЛ!.$#ССЫЛ!$#ССЫЛ!]"</definedName>
    <definedName name="Пл.полн.адр.пр.ТДФ_3_1_1" localSheetId="0">"[$#ССЫЛ!.$#ССЫЛ!$#ССЫЛ!]"</definedName>
    <definedName name="Пл.полн.адр.пр.ТДФ_3_1_1">"[$#ССЫЛ!.$#ССЫЛ!$#ССЫЛ!]"</definedName>
    <definedName name="Пл.полн.адр.пр.ТДФ_3_1_2" localSheetId="0">"[$#ССЫЛ!.$#ССЫЛ!$#ССЫЛ!]"</definedName>
    <definedName name="Пл.полн.адр.пр.ТДФ_3_1_2">"[$#ССЫЛ!.$#ССЫЛ!$#ССЫЛ!]"</definedName>
    <definedName name="Пл.полн.адр.пр.ТДФ_3_1_3" localSheetId="0">"[$#ССЫЛ!.$#ССЫЛ!$#ССЫЛ!]"</definedName>
    <definedName name="Пл.полн.адр.пр.ТДФ_3_1_3">"[$#ССЫЛ!.$#ССЫЛ!$#ССЫЛ!]"</definedName>
    <definedName name="Пл.полн.адр.пр.ТДФ_3_1_4" localSheetId="0">"[$#ССЫЛ!.$#ССЫЛ!$#ССЫЛ!]"</definedName>
    <definedName name="Пл.полн.адр.пр.ТДФ_3_1_4">"[$#ССЫЛ!.$#ССЫЛ!$#ССЫЛ!]"</definedName>
    <definedName name="Пл.полн.адр.пр.ТДФ_3_2" localSheetId="0">"[$#ССЫЛ!.$#ССЫЛ!$#ССЫЛ!]"</definedName>
    <definedName name="Пл.полн.адр.пр.ТДФ_3_2">"[$#ССЫЛ!.$#ССЫЛ!$#ССЫЛ!]"</definedName>
    <definedName name="Пл.полн.адр.пр.ТДФ_3_3" localSheetId="0">"[$#ССЫЛ!.$#ССЫЛ!$#ССЫЛ!]"</definedName>
    <definedName name="Пл.полн.адр.пр.ТДФ_3_3">"[$#ССЫЛ!.$#ССЫЛ!$#ССЫЛ!]"</definedName>
    <definedName name="Пл.полн.адр.пр.ТДФ_3_4" localSheetId="0">"[$#ССЫЛ!.$#ССЫЛ!$#ССЫЛ!]"</definedName>
    <definedName name="Пл.полн.адр.пр.ТДФ_3_4">"[$#ССЫЛ!.$#ССЫЛ!$#ССЫЛ!]"</definedName>
    <definedName name="Пл.полн.адр.пр.ТДФ_4" localSheetId="0">"[$#ССЫЛ!.$#ССЫЛ!$#ССЫЛ!]"</definedName>
    <definedName name="Пл.полн.адр.пр.ТДФ_4">"[$#ССЫЛ!.$#ССЫЛ!$#ССЫЛ!]"</definedName>
    <definedName name="Пл.ТДФ" localSheetId="0">"[$#ССЫЛ!.$#ССЫЛ!$#ССЫЛ!]"</definedName>
    <definedName name="Пл.ТДФ">"[$#ССЫЛ!.$#ССЫЛ!$#ССЫЛ!]"</definedName>
    <definedName name="Пл.ТДФ_1" localSheetId="0">"[$#ССЫЛ!.$#ССЫЛ!$#ССЫЛ!]"</definedName>
    <definedName name="Пл.ТДФ_1">"[$#ССЫЛ!.$#ССЫЛ!$#ССЫЛ!]"</definedName>
    <definedName name="Пл.ТДФ_1_1" localSheetId="0">"[$#ССЫЛ!.$#ССЫЛ!$#ССЫЛ!]"</definedName>
    <definedName name="Пл.ТДФ_1_1">"[$#ССЫЛ!.$#ССЫЛ!$#ССЫЛ!]"</definedName>
    <definedName name="Пл.ТДФ_2" localSheetId="0">"[$#ССЫЛ!.$#ССЫЛ!$#ССЫЛ!]"</definedName>
    <definedName name="Пл.ТДФ_2">"[$#ССЫЛ!.$#ССЫЛ!$#ССЫЛ!]"</definedName>
    <definedName name="Пл.ТДФ_2_1" localSheetId="0">"[$#ССЫЛ!.$#ССЫЛ!$#ССЫЛ!]"</definedName>
    <definedName name="Пл.ТДФ_2_1">"[$#ССЫЛ!.$#ССЫЛ!$#ССЫЛ!]"</definedName>
    <definedName name="Пл.ТДФ_2_1_1" localSheetId="0">"[$#ССЫЛ!.$#ССЫЛ!$#ССЫЛ!]"</definedName>
    <definedName name="Пл.ТДФ_2_1_1">"[$#ССЫЛ!.$#ССЫЛ!$#ССЫЛ!]"</definedName>
    <definedName name="Пл.ТДФ_2_2" localSheetId="0">"[$#ССЫЛ!.$#ССЫЛ!$#ССЫЛ!]"</definedName>
    <definedName name="Пл.ТДФ_2_2">"[$#ССЫЛ!.$#ССЫЛ!$#ССЫЛ!]"</definedName>
    <definedName name="Пл.ТДФ_3" localSheetId="0">"[$#ССЫЛ!.$#ССЫЛ!$#ССЫЛ!]"</definedName>
    <definedName name="Пл.ТДФ_3">"[$#ССЫЛ!.$#ССЫЛ!$#ССЫЛ!]"</definedName>
    <definedName name="Пл.ТДФ_3_1" localSheetId="0">"[$#ССЫЛ!.$#ССЫЛ!$#ССЫЛ!]"</definedName>
    <definedName name="Пл.ТДФ_3_1">"[$#ССЫЛ!.$#ССЫЛ!$#ССЫЛ!]"</definedName>
    <definedName name="Пл.ТДФ_3_1_1" localSheetId="0">"[$#ССЫЛ!.$#ССЫЛ!$#ССЫЛ!]"</definedName>
    <definedName name="Пл.ТДФ_3_1_1">"[$#ССЫЛ!.$#ССЫЛ!$#ССЫЛ!]"</definedName>
    <definedName name="Пл.ТДФ_3_1_2" localSheetId="0">"[$#ССЫЛ!.$#ССЫЛ!$#ССЫЛ!]"</definedName>
    <definedName name="Пл.ТДФ_3_1_2">"[$#ССЫЛ!.$#ССЫЛ!$#ССЫЛ!]"</definedName>
    <definedName name="Пл.ТДФ_3_1_3" localSheetId="0">"[$#ССЫЛ!.$#ССЫЛ!$#ССЫЛ!]"</definedName>
    <definedName name="Пл.ТДФ_3_1_3">"[$#ССЫЛ!.$#ССЫЛ!$#ССЫЛ!]"</definedName>
    <definedName name="Пл.ТДФ_3_1_4" localSheetId="0">"[$#ССЫЛ!.$#ССЫЛ!$#ССЫЛ!]"</definedName>
    <definedName name="Пл.ТДФ_3_1_4">"[$#ССЫЛ!.$#ССЫЛ!$#ССЫЛ!]"</definedName>
    <definedName name="Пл.ТДФ_3_2" localSheetId="0">"[$#ССЫЛ!.$#ССЫЛ!$#ССЫЛ!]"</definedName>
    <definedName name="Пл.ТДФ_3_2">"[$#ССЫЛ!.$#ССЫЛ!$#ССЫЛ!]"</definedName>
    <definedName name="Пл.ТДФ_3_3" localSheetId="0">"[$#ССЫЛ!.$#ССЫЛ!$#ССЫЛ!]"</definedName>
    <definedName name="Пл.ТДФ_3_3">"[$#ССЫЛ!.$#ССЫЛ!$#ССЫЛ!]"</definedName>
    <definedName name="Пл.ТДФ_3_4" localSheetId="0">"[$#ССЫЛ!.$#ССЫЛ!$#ССЫЛ!]"</definedName>
    <definedName name="Пл.ТДФ_3_4">"[$#ССЫЛ!.$#ССЫЛ!$#ССЫЛ!]"</definedName>
    <definedName name="Пл.ТДФ_4" localSheetId="0">"[$#ССЫЛ!.$#ССЫЛ!$#ССЫЛ!]"</definedName>
    <definedName name="Пл.ТДФ_4">"[$#ССЫЛ!.$#ССЫЛ!$#ССЫЛ!]"</definedName>
    <definedName name="Пл.ТДФ2000г." localSheetId="0">"[$#ССЫЛ!.$#ССЫЛ!$#ССЫЛ!]"</definedName>
    <definedName name="Пл.ТДФ2000г.">"[$#ССЫЛ!.$#ССЫЛ!$#ССЫЛ!]"</definedName>
    <definedName name="Пл.ТДФ2000г._1" localSheetId="0">"[$#ССЫЛ!.$#ССЫЛ!$#ССЫЛ!]"</definedName>
    <definedName name="Пл.ТДФ2000г._1">"[$#ССЫЛ!.$#ССЫЛ!$#ССЫЛ!]"</definedName>
    <definedName name="Пл.ТДФ2000г._1_1" localSheetId="0">"[$#ССЫЛ!.$#ССЫЛ!$#ССЫЛ!]"</definedName>
    <definedName name="Пл.ТДФ2000г._1_1">"[$#ССЫЛ!.$#ССЫЛ!$#ССЫЛ!]"</definedName>
    <definedName name="Пл.ТДФ2000г._2" localSheetId="0">"[$#ССЫЛ!.$#ССЫЛ!$#ССЫЛ!]"</definedName>
    <definedName name="Пл.ТДФ2000г._2">"[$#ССЫЛ!.$#ССЫЛ!$#ССЫЛ!]"</definedName>
    <definedName name="Пл.ТДФ2000г._2_1" localSheetId="0">"[$#ССЫЛ!.$#ССЫЛ!$#ССЫЛ!]"</definedName>
    <definedName name="Пл.ТДФ2000г._2_1">"[$#ССЫЛ!.$#ССЫЛ!$#ССЫЛ!]"</definedName>
    <definedName name="Пл.ТДФ2000г._2_1_1" localSheetId="0">"[$#ССЫЛ!.$#ССЫЛ!$#ССЫЛ!]"</definedName>
    <definedName name="Пл.ТДФ2000г._2_1_1">"[$#ССЫЛ!.$#ССЫЛ!$#ССЫЛ!]"</definedName>
    <definedName name="Пл.ТДФ2000г._2_2" localSheetId="0">"[$#ССЫЛ!.$#ССЫЛ!$#ССЫЛ!]"</definedName>
    <definedName name="Пл.ТДФ2000г._2_2">"[$#ССЫЛ!.$#ССЫЛ!$#ССЫЛ!]"</definedName>
    <definedName name="Пл.ТДФ2000г._3" localSheetId="0">"[$#ССЫЛ!.$#ССЫЛ!$#ССЫЛ!]"</definedName>
    <definedName name="Пл.ТДФ2000г._3">"[$#ССЫЛ!.$#ССЫЛ!$#ССЫЛ!]"</definedName>
    <definedName name="Пл.ТДФ2000г._3_1" localSheetId="0">"[$#ССЫЛ!.$#ССЫЛ!$#ССЫЛ!]"</definedName>
    <definedName name="Пл.ТДФ2000г._3_1">"[$#ССЫЛ!.$#ССЫЛ!$#ССЫЛ!]"</definedName>
    <definedName name="Пл.ТДФ2000г._3_1_1" localSheetId="0">"[$#ССЫЛ!.$#ССЫЛ!$#ССЫЛ!]"</definedName>
    <definedName name="Пл.ТДФ2000г._3_1_1">"[$#ССЫЛ!.$#ССЫЛ!$#ССЫЛ!]"</definedName>
    <definedName name="Пл.ТДФ2000г._3_1_2" localSheetId="0">"[$#ССЫЛ!.$#ССЫЛ!$#ССЫЛ!]"</definedName>
    <definedName name="Пл.ТДФ2000г._3_1_2">"[$#ССЫЛ!.$#ССЫЛ!$#ССЫЛ!]"</definedName>
    <definedName name="Пл.ТДФ2000г._3_1_3" localSheetId="0">"[$#ССЫЛ!.$#ССЫЛ!$#ССЫЛ!]"</definedName>
    <definedName name="Пл.ТДФ2000г._3_1_3">"[$#ССЫЛ!.$#ССЫЛ!$#ССЫЛ!]"</definedName>
    <definedName name="Пл.ТДФ2000г._3_1_4" localSheetId="0">"[$#ССЫЛ!.$#ССЫЛ!$#ССЫЛ!]"</definedName>
    <definedName name="Пл.ТДФ2000г._3_1_4">"[$#ССЫЛ!.$#ССЫЛ!$#ССЫЛ!]"</definedName>
    <definedName name="Пл.ТДФ2000г._3_2" localSheetId="0">"[$#ССЫЛ!.$#ССЫЛ!$#ССЫЛ!]"</definedName>
    <definedName name="Пл.ТДФ2000г._3_2">"[$#ССЫЛ!.$#ССЫЛ!$#ССЫЛ!]"</definedName>
    <definedName name="Пл.ТДФ2000г._3_3" localSheetId="0">"[$#ССЫЛ!.$#ССЫЛ!$#ССЫЛ!]"</definedName>
    <definedName name="Пл.ТДФ2000г._3_3">"[$#ССЫЛ!.$#ССЫЛ!$#ССЫЛ!]"</definedName>
    <definedName name="Пл.ТДФ2000г._3_4" localSheetId="0">"[$#ССЫЛ!.$#ССЫЛ!$#ССЫЛ!]"</definedName>
    <definedName name="Пл.ТДФ2000г._3_4">"[$#ССЫЛ!.$#ССЫЛ!$#ССЫЛ!]"</definedName>
    <definedName name="Пл.ТДФ2000г._4" localSheetId="0">"[$#ССЫЛ!.$#ССЫЛ!$#ССЫЛ!]"</definedName>
    <definedName name="Пл.ТДФ2000г._4">"[$#ССЫЛ!.$#ССЫЛ!$#ССЫЛ!]"</definedName>
    <definedName name="Пл_1" localSheetId="0">"[$#ССЫЛ!.$#ССЫЛ!$#ССЫЛ!]"</definedName>
    <definedName name="Пл_1">"[$#ССЫЛ!.$#ССЫЛ!$#ССЫЛ!]"</definedName>
    <definedName name="Пл_1_1" localSheetId="0">"[$#ССЫЛ!.$#ССЫЛ!$#ССЫЛ!]"</definedName>
    <definedName name="Пл_1_1">"[$#ССЫЛ!.$#ССЫЛ!$#ССЫЛ!]"</definedName>
    <definedName name="Пл_2" localSheetId="0">"[$#ССЫЛ!.$#ССЫЛ!$#ССЫЛ!]"</definedName>
    <definedName name="Пл_2">"[$#ССЫЛ!.$#ССЫЛ!$#ССЫЛ!]"</definedName>
    <definedName name="Пл_2_1" localSheetId="0">"[$#ССЫЛ!.$#ССЫЛ!$#ССЫЛ!]"</definedName>
    <definedName name="Пл_2_1">"[$#ССЫЛ!.$#ССЫЛ!$#ССЫЛ!]"</definedName>
    <definedName name="Пл_2_1_1" localSheetId="0">"[$#ССЫЛ!.$#ССЫЛ!$#ССЫЛ!]"</definedName>
    <definedName name="Пл_2_1_1">"[$#ССЫЛ!.$#ССЫЛ!$#ССЫЛ!]"</definedName>
    <definedName name="Пл_2_2" localSheetId="0">"[$#ССЫЛ!.$#ССЫЛ!$#ССЫЛ!]"</definedName>
    <definedName name="Пл_2_2">"[$#ССЫЛ!.$#ССЫЛ!$#ССЫЛ!]"</definedName>
    <definedName name="Пл_3" localSheetId="0">"[$#ССЫЛ!.$#ССЫЛ!$#ССЫЛ!]"</definedName>
    <definedName name="Пл_3">"[$#ССЫЛ!.$#ССЫЛ!$#ССЫЛ!]"</definedName>
    <definedName name="Пл_3_1" localSheetId="0">"[$#ССЫЛ!.$#ССЫЛ!$#ССЫЛ!]"</definedName>
    <definedName name="Пл_3_1">"[$#ССЫЛ!.$#ССЫЛ!$#ССЫЛ!]"</definedName>
    <definedName name="Пл_3_1_1" localSheetId="0">"[$#ССЫЛ!.$#ССЫЛ!$#ССЫЛ!]"</definedName>
    <definedName name="Пл_3_1_1">"[$#ССЫЛ!.$#ССЫЛ!$#ССЫЛ!]"</definedName>
    <definedName name="Пл_3_1_2" localSheetId="0">"[$#ССЫЛ!.$#ССЫЛ!$#ССЫЛ!]"</definedName>
    <definedName name="Пл_3_1_2">"[$#ССЫЛ!.$#ССЫЛ!$#ССЫЛ!]"</definedName>
    <definedName name="Пл_3_1_3" localSheetId="0">"[$#ССЫЛ!.$#ССЫЛ!$#ССЫЛ!]"</definedName>
    <definedName name="Пл_3_1_3">"[$#ССЫЛ!.$#ССЫЛ!$#ССЫЛ!]"</definedName>
    <definedName name="Пл_3_1_4" localSheetId="0">"[$#ССЫЛ!.$#ССЫЛ!$#ССЫЛ!]"</definedName>
    <definedName name="Пл_3_1_4">"[$#ССЫЛ!.$#ССЫЛ!$#ССЫЛ!]"</definedName>
    <definedName name="Пл_3_2" localSheetId="0">"[$#ССЫЛ!.$#ССЫЛ!$#ССЫЛ!]"</definedName>
    <definedName name="Пл_3_2">"[$#ССЫЛ!.$#ССЫЛ!$#ССЫЛ!]"</definedName>
    <definedName name="Пл_3_3" localSheetId="0">"[$#ССЫЛ!.$#ССЫЛ!$#ССЫЛ!]"</definedName>
    <definedName name="Пл_3_3">"[$#ССЫЛ!.$#ССЫЛ!$#ССЫЛ!]"</definedName>
    <definedName name="Пл_3_4" localSheetId="0">"[$#ССЫЛ!.$#ССЫЛ!$#ССЫЛ!]"</definedName>
    <definedName name="Пл_3_4">"[$#ССЫЛ!.$#ССЫЛ!$#ССЫЛ!]"</definedName>
    <definedName name="Пл_4" localSheetId="0">"[$#ССЫЛ!.$#ССЫЛ!$#ССЫЛ!]"</definedName>
    <definedName name="Пл_4">"[$#ССЫЛ!.$#ССЫЛ!$#ССЫЛ!]"</definedName>
    <definedName name="Покварт.разб.ТДФ" localSheetId="0">"[$#ССЫЛ!.$#ССЫЛ!$#ССЫЛ!]"</definedName>
    <definedName name="Покварт.разб.ТДФ">"[$#ССЫЛ!.$#ССЫЛ!$#ССЫЛ!]"</definedName>
    <definedName name="Покварт.разб.ТДФ_1" localSheetId="0">"[$#ССЫЛ!.$#ССЫЛ!$#ССЫЛ!]"</definedName>
    <definedName name="Покварт.разб.ТДФ_1">"[$#ССЫЛ!.$#ССЫЛ!$#ССЫЛ!]"</definedName>
    <definedName name="Покварт.разб.ТДФ_1_1" localSheetId="0">"[$#ССЫЛ!.$#ССЫЛ!$#ССЫЛ!]"</definedName>
    <definedName name="Покварт.разб.ТДФ_1_1">"[$#ССЫЛ!.$#ССЫЛ!$#ССЫЛ!]"</definedName>
    <definedName name="Покварт.разб.ТДФ_2" localSheetId="0">"[$#ССЫЛ!.$#ССЫЛ!$#ССЫЛ!]"</definedName>
    <definedName name="Покварт.разб.ТДФ_2">"[$#ССЫЛ!.$#ССЫЛ!$#ССЫЛ!]"</definedName>
    <definedName name="Покварт.разб.ТДФ_2_1" localSheetId="0">"[$#ССЫЛ!.$#ССЫЛ!$#ССЫЛ!]"</definedName>
    <definedName name="Покварт.разб.ТДФ_2_1">"[$#ССЫЛ!.$#ССЫЛ!$#ССЫЛ!]"</definedName>
    <definedName name="Покварт.разб.ТДФ_2_1_1" localSheetId="0">"[$#ССЫЛ!.$#ССЫЛ!$#ССЫЛ!]"</definedName>
    <definedName name="Покварт.разб.ТДФ_2_1_1">"[$#ССЫЛ!.$#ССЫЛ!$#ССЫЛ!]"</definedName>
    <definedName name="Покварт.разб.ТДФ_2_2" localSheetId="0">"[$#ССЫЛ!.$#ССЫЛ!$#ССЫЛ!]"</definedName>
    <definedName name="Покварт.разб.ТДФ_2_2">"[$#ССЫЛ!.$#ССЫЛ!$#ССЫЛ!]"</definedName>
    <definedName name="Покварт.разб.ТДФ_3" localSheetId="0">"[$#ССЫЛ!.$#ССЫЛ!$#ССЫЛ!]"</definedName>
    <definedName name="Покварт.разб.ТДФ_3">"[$#ССЫЛ!.$#ССЫЛ!$#ССЫЛ!]"</definedName>
    <definedName name="Покварт.разб.ТДФ_3_1" localSheetId="0">"[$#ССЫЛ!.$#ССЫЛ!$#ССЫЛ!]"</definedName>
    <definedName name="Покварт.разб.ТДФ_3_1">"[$#ССЫЛ!.$#ССЫЛ!$#ССЫЛ!]"</definedName>
    <definedName name="Покварт.разб.ТДФ_3_1_1" localSheetId="0">"[$#ССЫЛ!.$#ССЫЛ!$#ССЫЛ!]"</definedName>
    <definedName name="Покварт.разб.ТДФ_3_1_1">"[$#ССЫЛ!.$#ССЫЛ!$#ССЫЛ!]"</definedName>
    <definedName name="Покварт.разб.ТДФ_3_1_2" localSheetId="0">"[$#ССЫЛ!.$#ССЫЛ!$#ССЫЛ!]"</definedName>
    <definedName name="Покварт.разб.ТДФ_3_1_2">"[$#ССЫЛ!.$#ССЫЛ!$#ССЫЛ!]"</definedName>
    <definedName name="Покварт.разб.ТДФ_3_1_3" localSheetId="0">"[$#ССЫЛ!.$#ССЫЛ!$#ССЫЛ!]"</definedName>
    <definedName name="Покварт.разб.ТДФ_3_1_3">"[$#ССЫЛ!.$#ССЫЛ!$#ССЫЛ!]"</definedName>
    <definedName name="Покварт.разб.ТДФ_3_1_4" localSheetId="0">"[$#ССЫЛ!.$#ССЫЛ!$#ССЫЛ!]"</definedName>
    <definedName name="Покварт.разб.ТДФ_3_1_4">"[$#ССЫЛ!.$#ССЫЛ!$#ССЫЛ!]"</definedName>
    <definedName name="Покварт.разб.ТДФ_3_2" localSheetId="0">"[$#ССЫЛ!.$#ССЫЛ!$#ССЫЛ!]"</definedName>
    <definedName name="Покварт.разб.ТДФ_3_2">"[$#ССЫЛ!.$#ССЫЛ!$#ССЫЛ!]"</definedName>
    <definedName name="Покварт.разб.ТДФ_3_3" localSheetId="0">"[$#ССЫЛ!.$#ССЫЛ!$#ССЫЛ!]"</definedName>
    <definedName name="Покварт.разб.ТДФ_3_3">"[$#ССЫЛ!.$#ССЫЛ!$#ССЫЛ!]"</definedName>
    <definedName name="Покварт.разб.ТДФ_3_4" localSheetId="0">"[$#ССЫЛ!.$#ССЫЛ!$#ССЫЛ!]"</definedName>
    <definedName name="Покварт.разб.ТДФ_3_4">"[$#ССЫЛ!.$#ССЫЛ!$#ССЫЛ!]"</definedName>
    <definedName name="Покварт.разб.ТДФ_4" localSheetId="0">"[$#ССЫЛ!.$#ССЫЛ!$#ССЫЛ!]"</definedName>
    <definedName name="Покварт.разб.ТДФ_4">"[$#ССЫЛ!.$#ССЫЛ!$#ССЫЛ!]"</definedName>
    <definedName name="ТДФ" localSheetId="0">"[$#ССЫЛ!.$#ССЫЛ!$#ССЫЛ!]"</definedName>
    <definedName name="ТДФ">"[$#ССЫЛ!.$#ССЫЛ!$#ССЫЛ!]"</definedName>
    <definedName name="ТДФ_1" localSheetId="0">"[$#ССЫЛ!.$#ССЫЛ!$#ССЫЛ!]"</definedName>
    <definedName name="ТДФ_1">"[$#ССЫЛ!.$#ССЫЛ!$#ССЫЛ!]"</definedName>
    <definedName name="ТДФ_1_1" localSheetId="0">"[$#ССЫЛ!.$#ССЫЛ!$#ССЫЛ!]"</definedName>
    <definedName name="ТДФ_1_1">"[$#ССЫЛ!.$#ССЫЛ!$#ССЫЛ!]"</definedName>
    <definedName name="ТДФ_2" localSheetId="0">"[$#ССЫЛ!.$#ССЫЛ!$#ССЫЛ!]"</definedName>
    <definedName name="ТДФ_2">"[$#ССЫЛ!.$#ССЫЛ!$#ССЫЛ!]"</definedName>
    <definedName name="ТДФ_2_1" localSheetId="0">"[$#ССЫЛ!.$#ССЫЛ!$#ССЫЛ!]"</definedName>
    <definedName name="ТДФ_2_1">"[$#ССЫЛ!.$#ССЫЛ!$#ССЫЛ!]"</definedName>
    <definedName name="ТДФ_2_1_1" localSheetId="0">"[$#ССЫЛ!.$#ССЫЛ!$#ССЫЛ!]"</definedName>
    <definedName name="ТДФ_2_1_1">"[$#ССЫЛ!.$#ССЫЛ!$#ССЫЛ!]"</definedName>
    <definedName name="ТДФ_2_2" localSheetId="0">"[$#ССЫЛ!.$#ССЫЛ!$#ССЫЛ!]"</definedName>
    <definedName name="ТДФ_2_2">"[$#ССЫЛ!.$#ССЫЛ!$#ССЫЛ!]"</definedName>
    <definedName name="ТДФ_3" localSheetId="0">"[$#ССЫЛ!.$#ССЫЛ!$#ССЫЛ!]"</definedName>
    <definedName name="ТДФ_3">"[$#ССЫЛ!.$#ССЫЛ!$#ССЫЛ!]"</definedName>
    <definedName name="ТДФ_3_1" localSheetId="0">"[$#ССЫЛ!.$#ССЫЛ!$#ССЫЛ!]"</definedName>
    <definedName name="ТДФ_3_1">"[$#ССЫЛ!.$#ССЫЛ!$#ССЫЛ!]"</definedName>
    <definedName name="ТДФ_3_1_1" localSheetId="0">"[$#ССЫЛ!.$#ССЫЛ!$#ССЫЛ!]"</definedName>
    <definedName name="ТДФ_3_1_1">"[$#ССЫЛ!.$#ССЫЛ!$#ССЫЛ!]"</definedName>
    <definedName name="ТДФ_3_1_2" localSheetId="0">"[$#ССЫЛ!.$#ССЫЛ!$#ССЫЛ!]"</definedName>
    <definedName name="ТДФ_3_1_2">"[$#ССЫЛ!.$#ССЫЛ!$#ССЫЛ!]"</definedName>
    <definedName name="ТДФ_3_1_3" localSheetId="0">"[$#ССЫЛ!.$#ССЫЛ!$#ССЫЛ!]"</definedName>
    <definedName name="ТДФ_3_1_3">"[$#ССЫЛ!.$#ССЫЛ!$#ССЫЛ!]"</definedName>
    <definedName name="ТДФ_3_1_4" localSheetId="0">"[$#ССЫЛ!.$#ССЫЛ!$#ССЫЛ!]"</definedName>
    <definedName name="ТДФ_3_1_4">"[$#ССЫЛ!.$#ССЫЛ!$#ССЫЛ!]"</definedName>
    <definedName name="ТДФ_3_2" localSheetId="0">"[$#ССЫЛ!.$#ССЫЛ!$#ССЫЛ!]"</definedName>
    <definedName name="ТДФ_3_2">"[$#ССЫЛ!.$#ССЫЛ!$#ССЫЛ!]"</definedName>
    <definedName name="ТДФ_3_3" localSheetId="0">"[$#ССЫЛ!.$#ССЫЛ!$#ССЫЛ!]"</definedName>
    <definedName name="ТДФ_3_3">"[$#ССЫЛ!.$#ССЫЛ!$#ССЫЛ!]"</definedName>
    <definedName name="ТДФ_3_4" localSheetId="0">"[$#ССЫЛ!.$#ССЫЛ!$#ССЫЛ!]"</definedName>
    <definedName name="ТДФ_3_4">"[$#ССЫЛ!.$#ССЫЛ!$#ССЫЛ!]"</definedName>
    <definedName name="ТДФ_4" localSheetId="0">"[$#ССЫЛ!.$#ССЫЛ!$#ССЫЛ!]"</definedName>
    <definedName name="ТДФ_4">"[$#ССЫЛ!.$#ССЫЛ!$#ССЫЛ!]"</definedName>
    <definedName name="эж" localSheetId="0">"[$#ССЫЛ!.$#ССЫЛ!$#ССЫЛ!]"</definedName>
    <definedName name="эж">"[$#ССЫЛ!.$#ССЫЛ!$#ССЫЛ!]"</definedName>
    <definedName name="эж_1" localSheetId="0">"[$#ССЫЛ!.$#ССЫЛ!$#ССЫЛ!]"</definedName>
    <definedName name="эж_1">"[$#ССЫЛ!.$#ССЫЛ!$#ССЫЛ!]"</definedName>
    <definedName name="эж_2" localSheetId="0">"[$#ССЫЛ!.$#ССЫЛ!$#ССЫЛ!]"</definedName>
    <definedName name="эж_2">"[$#ССЫЛ!.$#ССЫЛ!$#ССЫЛ!]"</definedName>
    <definedName name="эж_2_1" localSheetId="0">"[$#ССЫЛ!.$#ССЫЛ!$#ССЫЛ!]"</definedName>
    <definedName name="эж_2_1">"[$#ССЫЛ!.$#ССЫЛ!$#ССЫЛ!]"</definedName>
    <definedName name="эж_2_2" localSheetId="0">"[$#ССЫЛ!.$#ССЫЛ!$#ССЫЛ!]"</definedName>
    <definedName name="эж_2_2">"[$#ССЫЛ!.$#ССЫЛ!$#ССЫЛ!]"</definedName>
    <definedName name="эж_3" localSheetId="0">"[$#ССЫЛ!.$#ССЫЛ!$#ССЫЛ!]"</definedName>
    <definedName name="эж_3">"[$#ССЫЛ!.$#ССЫЛ!$#ССЫЛ!]"</definedName>
    <definedName name="эж_3_1" localSheetId="0">"[$#ССЫЛ!.$#ССЫЛ!$#ССЫЛ!]"</definedName>
    <definedName name="эж_3_1">"[$#ССЫЛ!.$#ССЫЛ!$#ССЫЛ!]"</definedName>
    <definedName name="эж_3_1_2" localSheetId="0">"[$#ССЫЛ!.$#ССЫЛ!$#ССЫЛ!]"</definedName>
    <definedName name="эж_3_1_2">"[$#ССЫЛ!.$#ССЫЛ!$#ССЫЛ!]"</definedName>
    <definedName name="эж_3_1_3" localSheetId="0">"[$#ССЫЛ!.$#ССЫЛ!$#ССЫЛ!]"</definedName>
    <definedName name="эж_3_1_3">"[$#ССЫЛ!.$#ССЫЛ!$#ССЫЛ!]"</definedName>
    <definedName name="эж_3_1_4" localSheetId="0">"[$#ССЫЛ!.$#ССЫЛ!$#ССЫЛ!]"</definedName>
    <definedName name="эж_3_1_4">"[$#ССЫЛ!.$#ССЫЛ!$#ССЫЛ!]"</definedName>
    <definedName name="эж_3_2" localSheetId="0">"[$#ССЫЛ!.$#ССЫЛ!$#ССЫЛ!]"</definedName>
    <definedName name="эж_3_2">"[$#ССЫЛ!.$#ССЫЛ!$#ССЫЛ!]"</definedName>
    <definedName name="эж_3_3" localSheetId="0">"[$#ССЫЛ!.$#ССЫЛ!$#ССЫЛ!]"</definedName>
    <definedName name="эж_3_3">"[$#ССЫЛ!.$#ССЫЛ!$#ССЫЛ!]"</definedName>
    <definedName name="эж_3_4" localSheetId="0">"[$#ССЫЛ!.$#ССЫЛ!$#ССЫЛ!]"</definedName>
    <definedName name="эж_3_4">"[$#ССЫЛ!.$#ССЫЛ!$#ССЫЛ!]"</definedName>
  </definedNames>
  <calcPr fullCalcOnLoad="1" fullPrecision="0"/>
</workbook>
</file>

<file path=xl/sharedStrings.xml><?xml version="1.0" encoding="utf-8"?>
<sst xmlns="http://schemas.openxmlformats.org/spreadsheetml/2006/main" count="2743" uniqueCount="689">
  <si>
    <t>Приложение 1.14. к распоряжению</t>
  </si>
  <si>
    <t>Комитета по благоустройству Санкт-Петербурга</t>
  </si>
  <si>
    <t>от 07.09.2018 № 217-р</t>
  </si>
  <si>
    <t>Приложение 1.9 к Техническому заданию</t>
  </si>
  <si>
    <t>Приложение № 8</t>
  </si>
  <si>
    <t>к Дополнительному соглашению № 7</t>
  </si>
  <si>
    <t>к Государственному контракту Санкт-Петербурга</t>
  </si>
  <si>
    <t>от 29.12.2018 № 16/19</t>
  </si>
  <si>
    <t>Адресная программа</t>
  </si>
  <si>
    <t>комплексной уборки проезжих частей дорог и искусственных дорожных сооружений Петроградского района Санкт-Петербурга</t>
  </si>
  <si>
    <t>№№ п/п</t>
  </si>
  <si>
    <t>АДРЕСА</t>
  </si>
  <si>
    <t>ГРАНИЦЫ</t>
  </si>
  <si>
    <t>Группа</t>
  </si>
  <si>
    <t>Протяженность, м</t>
  </si>
  <si>
    <t>Площадь, тыс.кв.м</t>
  </si>
  <si>
    <t>в том числе площадь (тыс.кв.м)</t>
  </si>
  <si>
    <t>Площадь обочин, тыс.кв.м</t>
  </si>
  <si>
    <t>Ширина, м</t>
  </si>
  <si>
    <t>Кол-во лотков, шт</t>
  </si>
  <si>
    <t>Протяженность лотков, м.</t>
  </si>
  <si>
    <t>Длина трамвайных путей, м</t>
  </si>
  <si>
    <t>Вид городского транспорта</t>
  </si>
  <si>
    <t>Площадь П, тыс.кв.м</t>
  </si>
  <si>
    <t>Информация о знаках 3.27</t>
  </si>
  <si>
    <t xml:space="preserve"> от</t>
  </si>
  <si>
    <t>до</t>
  </si>
  <si>
    <t>боковых проездов</t>
  </si>
  <si>
    <t>парковок</t>
  </si>
  <si>
    <t>дорог с неусовершенствованным покрытием</t>
  </si>
  <si>
    <t>Бордюры</t>
  </si>
  <si>
    <t>информация об установке знаков 3.27 (установлен в соответствии с АП/ требуется установить / установка не требуется)</t>
  </si>
  <si>
    <t>границы зоны действия знака</t>
  </si>
  <si>
    <t>сторона</t>
  </si>
  <si>
    <t>день недели</t>
  </si>
  <si>
    <t>время</t>
  </si>
  <si>
    <t>наличие табличка 8.5.7</t>
  </si>
  <si>
    <t>наличие табличка 8.24</t>
  </si>
  <si>
    <t>Пояснения (в случаях, когда на участке АП установка знака не требуется / требуется, необходимо дать обоснование)</t>
  </si>
  <si>
    <t>7.1</t>
  </si>
  <si>
    <t>7.2</t>
  </si>
  <si>
    <t>7.3</t>
  </si>
  <si>
    <t>требуется установка</t>
  </si>
  <si>
    <t>чет+нечет</t>
  </si>
  <si>
    <t>00:00 - 07:00</t>
  </si>
  <si>
    <t>нет</t>
  </si>
  <si>
    <t>Автомобильные дороги, отнесенные к группе Б</t>
  </si>
  <si>
    <t>Адмирала Лазарева наб.</t>
  </si>
  <si>
    <t>Пионеpской ул.</t>
  </si>
  <si>
    <t>Б. Зеленина ул.</t>
  </si>
  <si>
    <t>Б</t>
  </si>
  <si>
    <t>А</t>
  </si>
  <si>
    <t>установка не требуется</t>
  </si>
  <si>
    <t>Аптекаpская наб.</t>
  </si>
  <si>
    <t xml:space="preserve"> ул. Академика Павлова</t>
  </si>
  <si>
    <t>Каpповки наб.p.</t>
  </si>
  <si>
    <t>Бетанкура мост</t>
  </si>
  <si>
    <t>Петровский пр., д. 18, сооружение 1</t>
  </si>
  <si>
    <t>Б. Пушкаpская ул.</t>
  </si>
  <si>
    <t>Каменноостровского пр.</t>
  </si>
  <si>
    <t>Съезжинской ул.</t>
  </si>
  <si>
    <t>АТл</t>
  </si>
  <si>
    <t>установлен</t>
  </si>
  <si>
    <t>Съезжинской ул. - Ординарной ул.</t>
  </si>
  <si>
    <t>четная</t>
  </si>
  <si>
    <t>четверг</t>
  </si>
  <si>
    <t>00:00-07:00</t>
  </si>
  <si>
    <t>да</t>
  </si>
  <si>
    <t>Большой пp. П.С.</t>
  </si>
  <si>
    <t>Льва Толстого пл.</t>
  </si>
  <si>
    <t>Каменноостровского пр. - Блохина ул.</t>
  </si>
  <si>
    <t>нечетная</t>
  </si>
  <si>
    <t>понедельник</t>
  </si>
  <si>
    <t>требуется изменить время действия знака (на 09:00-18:00)</t>
  </si>
  <si>
    <t>Карповки наб. р. - Каменноостровского пр.</t>
  </si>
  <si>
    <t>вторник</t>
  </si>
  <si>
    <t>р. М. Нева</t>
  </si>
  <si>
    <t>АТлТм</t>
  </si>
  <si>
    <t>Восточный Артиллерийский мост</t>
  </si>
  <si>
    <t>по Кронверкской наб. через Кронверкский канал</t>
  </si>
  <si>
    <t>Добролюбова пр.</t>
  </si>
  <si>
    <t>Кpонвеpкского пp.</t>
  </si>
  <si>
    <t>Большого пp. П.С.</t>
  </si>
  <si>
    <t>АТмТл</t>
  </si>
  <si>
    <t>Кронверкского пр. - Провиантской ул.</t>
  </si>
  <si>
    <t>пятница</t>
  </si>
  <si>
    <t>Сперанского ул. - Храмова пер.</t>
  </si>
  <si>
    <t>не установлен</t>
  </si>
  <si>
    <t>Храмова пер. - Кронверкского пр.</t>
  </si>
  <si>
    <t>суббота</t>
  </si>
  <si>
    <t>требуется установка нового знака и табличек</t>
  </si>
  <si>
    <t>Ждановская наб.</t>
  </si>
  <si>
    <t>Большого пр. П.С.</t>
  </si>
  <si>
    <t>Ждановской ул.</t>
  </si>
  <si>
    <t>Тл</t>
  </si>
  <si>
    <t>Ждановская ул.</t>
  </si>
  <si>
    <t>Ждановской наб.</t>
  </si>
  <si>
    <t>за Новоладожскую ул.</t>
  </si>
  <si>
    <t>Западный Артиллерийский мост</t>
  </si>
  <si>
    <t>Зоологический пеp.</t>
  </si>
  <si>
    <t>сутугин</t>
  </si>
  <si>
    <t>пл. Академика Лихачева</t>
  </si>
  <si>
    <t>Кpонвеpкская наб.</t>
  </si>
  <si>
    <t>Кронверкского пр.</t>
  </si>
  <si>
    <t>Каменноостровский пр. с Австрийской пл.</t>
  </si>
  <si>
    <t>Кронверской наб. и ул. Куйбышева</t>
  </si>
  <si>
    <t>наб.р. Б. Невки</t>
  </si>
  <si>
    <t>Кантемиpовский              Мост</t>
  </si>
  <si>
    <t>по оси Кантемировской ул. ч/з р. Большая Невка</t>
  </si>
  <si>
    <t>Куйбышева ул.</t>
  </si>
  <si>
    <t>Троицкой пл.</t>
  </si>
  <si>
    <t>Петpогpадской наб.</t>
  </si>
  <si>
    <t>Чапаева ул. - Мичуринской ул.</t>
  </si>
  <si>
    <t>нечёт</t>
  </si>
  <si>
    <t>Тм</t>
  </si>
  <si>
    <t>на пересечении Большого пр.
и Каменноостровского пр.</t>
  </si>
  <si>
    <t>Мало-Петpовский       Мост</t>
  </si>
  <si>
    <t>по Новоладожской ул.</t>
  </si>
  <si>
    <t>ч/з р. Ждановку</t>
  </si>
  <si>
    <t>ТлА</t>
  </si>
  <si>
    <t>Медиков пp.</t>
  </si>
  <si>
    <t>Аптекаpской наб.</t>
  </si>
  <si>
    <t>А Тл</t>
  </si>
  <si>
    <t>Молодежный мост</t>
  </si>
  <si>
    <t>по Песочной наб. через р. Карповку</t>
  </si>
  <si>
    <t>Мытнинская наб. (включая пл. Академика Лихачева)</t>
  </si>
  <si>
    <t>Hестеpова пеp.</t>
  </si>
  <si>
    <t>пер. Талалихина</t>
  </si>
  <si>
    <t>Б.Пушкаркой ул.</t>
  </si>
  <si>
    <t>Съезжинской ул. - Блохина ул.</t>
  </si>
  <si>
    <t>среда</t>
  </si>
  <si>
    <t>Блохина ул. - Съезжинской ул.</t>
  </si>
  <si>
    <t>Hоволадожская ул.</t>
  </si>
  <si>
    <t>наб. р. Каpповки (чет.ст.)</t>
  </si>
  <si>
    <t>Петропавловской ул.</t>
  </si>
  <si>
    <t>дома №36</t>
  </si>
  <si>
    <t>Петропавловской ул.-Каменноостровского пр</t>
  </si>
  <si>
    <t>четная ст-на</t>
  </si>
  <si>
    <t>Песочная наб</t>
  </si>
  <si>
    <t>Левашовского пp.</t>
  </si>
  <si>
    <t>АТм</t>
  </si>
  <si>
    <t>Петpовская наб.</t>
  </si>
  <si>
    <t>Петpогpадская наб.</t>
  </si>
  <si>
    <t>Петpовской наб.</t>
  </si>
  <si>
    <t>Чапаева ул.</t>
  </si>
  <si>
    <t>Петpопавловская ул.</t>
  </si>
  <si>
    <t>Льва Толстого ул.</t>
  </si>
  <si>
    <t>наб. р. Каpповки</t>
  </si>
  <si>
    <t>Петpопавловский            Мост</t>
  </si>
  <si>
    <t>Большого пp. Медиков пр. через р. Карповка</t>
  </si>
  <si>
    <t>Сампсониевский             Мост</t>
  </si>
  <si>
    <t>Куйбышева ул. Финляндский пр. через р. Большая Невка</t>
  </si>
  <si>
    <t>Силин мост</t>
  </si>
  <si>
    <t>по Каменноостровскому пр. через р. Карповку</t>
  </si>
  <si>
    <t>Тpоицкая пл.</t>
  </si>
  <si>
    <t>между Петровской наб, ул.Куйбышева
и Каменноостровским пр.</t>
  </si>
  <si>
    <t>Тpоицкий                     Мост</t>
  </si>
  <si>
    <t>через р. Неву  у  Суворовской пл. и Троицкой пл.</t>
  </si>
  <si>
    <t>Талалихина пеp.</t>
  </si>
  <si>
    <t>Блохина ул.</t>
  </si>
  <si>
    <t>Добролюбова пр. - Блохина ул.</t>
  </si>
  <si>
    <t>Тучков                           Мост</t>
  </si>
  <si>
    <t>1-я линии ВО и Большого пр. ПС ч/з р. Малая Нева</t>
  </si>
  <si>
    <t>Ушаковский                Мост</t>
  </si>
  <si>
    <t>через р. Большую  Невку в створе К/остр. пр.
и Ак. Крылова ул.</t>
  </si>
  <si>
    <t>Тм А Тл</t>
  </si>
  <si>
    <t>Итого</t>
  </si>
  <si>
    <t>по группе:</t>
  </si>
  <si>
    <t>Б-</t>
  </si>
  <si>
    <t>Автомобильные дороги, отнесенные к группе В</t>
  </si>
  <si>
    <t>2-й Парковый мост</t>
  </si>
  <si>
    <t>по Крестовскому пр. через р. Чухонку</t>
  </si>
  <si>
    <t>В</t>
  </si>
  <si>
    <t>Академика Павлова ул</t>
  </si>
  <si>
    <t>Аптекарского пр.</t>
  </si>
  <si>
    <t>Каменноостровского пр.-Аптекарский пр</t>
  </si>
  <si>
    <t>воскресенье</t>
  </si>
  <si>
    <t>Аптекарский мост</t>
  </si>
  <si>
    <t>по ул. Чапаева через р. Карповку</t>
  </si>
  <si>
    <t>Адмирала Лазарева наб. и Левашовского пр.</t>
  </si>
  <si>
    <t>Малого пp. П.С.</t>
  </si>
  <si>
    <t>д. 11 по Б. Зелениной ул. - Лодейнопольской ул.</t>
  </si>
  <si>
    <t>Барочной ул. - Песочной наб.</t>
  </si>
  <si>
    <t>Б. Монетная ул.</t>
  </si>
  <si>
    <t>Кpонвеpкской ул.</t>
  </si>
  <si>
    <t>ТлТм</t>
  </si>
  <si>
    <t>Чапаева ул. - Кронверкской ул.</t>
  </si>
  <si>
    <t>Чапаева ул. - Малой Монетной ул.</t>
  </si>
  <si>
    <t>Большой Кpестовский    Мост</t>
  </si>
  <si>
    <t>по оси Большой Зеленина ул. ч/з р. Малая Невка</t>
  </si>
  <si>
    <t>Введенская ул.</t>
  </si>
  <si>
    <t>Кронверкского пр. - Большого проспекта П.С.</t>
  </si>
  <si>
    <t>чётная</t>
  </si>
  <si>
    <t>знак не установлен, установка не требуется</t>
  </si>
  <si>
    <t>Воскова ул.</t>
  </si>
  <si>
    <t>Б. Пушкаpской ул.</t>
  </si>
  <si>
    <t>Малой Пушкарской ул. - Кронверкской ул.</t>
  </si>
  <si>
    <t>Кронверкской ул. - Малой Пушкарской ул.</t>
  </si>
  <si>
    <t>Вяземский пеp.</t>
  </si>
  <si>
    <t>Песочной наб.</t>
  </si>
  <si>
    <t>Пpофессора Попова ул.</t>
  </si>
  <si>
    <t>Песочной наб.-Проф. Попова</t>
  </si>
  <si>
    <t>Геслеровский                 Мост</t>
  </si>
  <si>
    <t>Чкаловского пр. наб.р. Карповки ч/з р. Карповка</t>
  </si>
  <si>
    <t>Иоанновский                  Мост</t>
  </si>
  <si>
    <t>Кронверской наб.</t>
  </si>
  <si>
    <t>Заячьего острова</t>
  </si>
  <si>
    <t>Иоанновский  переулок.</t>
  </si>
  <si>
    <t>Кpестовский пp.</t>
  </si>
  <si>
    <t>Петpогpадской ул.</t>
  </si>
  <si>
    <t>Южной дороги</t>
  </si>
  <si>
    <t>Кpонвеpкская ул.</t>
  </si>
  <si>
    <t>Матвеевского пер. - Пушкарского пер.</t>
  </si>
  <si>
    <t>Воскова ул. - Кронверкского пр.</t>
  </si>
  <si>
    <t>Кронверкского пр. - Мира ул.</t>
  </si>
  <si>
    <t>Матвеевского пер. - Большой Пушкарской ул.</t>
  </si>
  <si>
    <t>Кpонвеpкский пp.</t>
  </si>
  <si>
    <t>Мытнинской наб. и Кронверкской наб.</t>
  </si>
  <si>
    <t>д. 27 по Кронверкскому пр. - Сытнинской ул.</t>
  </si>
  <si>
    <t>Саблинской ул. - Лизы Чайкиной ул.</t>
  </si>
  <si>
    <t>Татарского пер. - Добролюбова пр.</t>
  </si>
  <si>
    <t>Карповский                    Мост</t>
  </si>
  <si>
    <t>Карповки наб.р. Вяземского пер.ч/з р. Карповку</t>
  </si>
  <si>
    <t>Константиновский пp.</t>
  </si>
  <si>
    <t>Прожекторной ул.</t>
  </si>
  <si>
    <t>Котовского ул.</t>
  </si>
  <si>
    <t>Б. Посадской ул. и Чапаева ул.</t>
  </si>
  <si>
    <t>Б. Монетной ул.</t>
  </si>
  <si>
    <t>Кронверский                  Мост</t>
  </si>
  <si>
    <t>Мытнинской наб.</t>
  </si>
  <si>
    <t>Заячьего о. ч/з Кронверский пролив</t>
  </si>
  <si>
    <t>Лазаревский                    Мост</t>
  </si>
  <si>
    <t>через р.М.Невка в створе Пионерской ул. и Спортивной ул.</t>
  </si>
  <si>
    <t>Левашовский пp.</t>
  </si>
  <si>
    <t>Песочной наб. и Б. Зелениной ул.</t>
  </si>
  <si>
    <t>Шевченко пл.</t>
  </si>
  <si>
    <t>Ленина ул.</t>
  </si>
  <si>
    <t>Сытнинской ул.</t>
  </si>
  <si>
    <t>Большой пр П.С.</t>
  </si>
  <si>
    <t>Сытнинской ул.-Большщой пр.П.С.</t>
  </si>
  <si>
    <t>Газовой ул. и Левашовского пр.</t>
  </si>
  <si>
    <t>требуется  изменить время действия знака (на 09:00-18:00)</t>
  </si>
  <si>
    <t>Большой Пушкарской ул. - Кропоткина ул.</t>
  </si>
  <si>
    <t>Сытнинской ул. - Воскова ул.</t>
  </si>
  <si>
    <t>требуется  изменить  время действия знака (на 09:00-18:00)</t>
  </si>
  <si>
    <t>Воскова ул. - Сытнинской ул.</t>
  </si>
  <si>
    <t>Кропоткина ул. - Большой Пушкарской ул.</t>
  </si>
  <si>
    <t>Большого проспекта П.С. - Левашовского пр.</t>
  </si>
  <si>
    <t>д. 9 по ул. Льва Толстого - Рентгена ул.</t>
  </si>
  <si>
    <t>Большой Монетной ул. - Льва Толстого площади</t>
  </si>
  <si>
    <t>Маpтынова наб.</t>
  </si>
  <si>
    <t>за Рюхина ул.</t>
  </si>
  <si>
    <t>Малый пp. П.С.</t>
  </si>
  <si>
    <t>Большой Разночинной ул. - Рыбацкой ул.</t>
  </si>
  <si>
    <t>Колпинской ул. - Стрельнинской ул.</t>
  </si>
  <si>
    <t>вдоль дд. 54-56 по Малому проспекту П.С. - *</t>
  </si>
  <si>
    <t>Подковырова ул. - Подрезова ул.</t>
  </si>
  <si>
    <t>Плуталова ул. - Каменноостровского пр.</t>
  </si>
  <si>
    <t>Малой Гребецкой ул. - Пионерской ул.</t>
  </si>
  <si>
    <t>Малой Разночинной ул. - Рыбацкой ул.</t>
  </si>
  <si>
    <t>Колпинской ул. - Ораниенбаумской ул.</t>
  </si>
  <si>
    <t>Полозова у.л - Подрезова ул.</t>
  </si>
  <si>
    <t>Бармалеева ул. - Ординарной ул.</t>
  </si>
  <si>
    <t>Пионерской ул. - Малой Разночинной ул.</t>
  </si>
  <si>
    <t>09:00-18:00</t>
  </si>
  <si>
    <t>Миpа ул.</t>
  </si>
  <si>
    <t>Кронверкской ул. - Певческого пер.</t>
  </si>
  <si>
    <t>Котовского ул. - Кронверкской ул.</t>
  </si>
  <si>
    <t>Моpской пp.</t>
  </si>
  <si>
    <t>Динамо пр.</t>
  </si>
  <si>
    <t>Рюхина ул.</t>
  </si>
  <si>
    <t>наб. р. Каpповки (неч.ст.)</t>
  </si>
  <si>
    <t>Барочной ул.</t>
  </si>
  <si>
    <t>Инструментальной ул. - Аптекарской наб.</t>
  </si>
  <si>
    <t>установлены ранее
Установлен знак 3.27 с табл. 8.7.5(время действия с 00:00-07:00 Воскресенье),табл.8.24 установлена,на время реконструкции УДС знаки временно закрыты</t>
  </si>
  <si>
    <t>Инструментальной ул. - Уфимской ул.</t>
  </si>
  <si>
    <t>Петpовская пл.</t>
  </si>
  <si>
    <t>на пересеч. Петровского пр., ул.Савиной и Петровской косы</t>
  </si>
  <si>
    <t>Тл А</t>
  </si>
  <si>
    <t>Петpогpадская ул.</t>
  </si>
  <si>
    <t>наб.р. М. Невки</t>
  </si>
  <si>
    <t>Депутатской ул.</t>
  </si>
  <si>
    <t>Петровский пp.</t>
  </si>
  <si>
    <t>от р. Ждановки</t>
  </si>
  <si>
    <t>Петpовской пл.</t>
  </si>
  <si>
    <t>от р. Ждановки - Петpовской пл.</t>
  </si>
  <si>
    <t>Воскресенье</t>
  </si>
  <si>
    <t>Пионеpская ул.</t>
  </si>
  <si>
    <t>Корпусной ул. - Петергофской ул.</t>
  </si>
  <si>
    <t>Новоладожской ул. - Корпусной ул.</t>
  </si>
  <si>
    <t>д. 30 по Пионерской ул. - Чкаловского пр.</t>
  </si>
  <si>
    <t>Музыкантского пер. - Большого проспекта П.С.</t>
  </si>
  <si>
    <t>Малого проспекта П.С. - Эскадронного пер.</t>
  </si>
  <si>
    <t>Рыбацкая ул.</t>
  </si>
  <si>
    <t>Малого пp. П.С. - Большого пp. П.С.</t>
  </si>
  <si>
    <t>Вторник</t>
  </si>
  <si>
    <t>Кpестовского пp.</t>
  </si>
  <si>
    <t>Савиной ул.</t>
  </si>
  <si>
    <t>наб. р. М. Невки</t>
  </si>
  <si>
    <t>Петpовской пл. - наб. р. М. Невки</t>
  </si>
  <si>
    <t>Пятница</t>
  </si>
  <si>
    <t>Споpтивная ул.</t>
  </si>
  <si>
    <t>р. М. Невки</t>
  </si>
  <si>
    <t>Моpского пp.</t>
  </si>
  <si>
    <t>Рентгена ул. и Петроградской наб.</t>
  </si>
  <si>
    <t>Куйбышева ул. - Мира ул.</t>
  </si>
  <si>
    <t>Казарменного пер. - Рентгена ул.</t>
  </si>
  <si>
    <t>Большой Посадской ул. - Куйбышева ул.</t>
  </si>
  <si>
    <t>Чкаловский пр.</t>
  </si>
  <si>
    <t>Красного Курсанта ул.</t>
  </si>
  <si>
    <t>наб. р. Каpповки и  Ординарской ул.</t>
  </si>
  <si>
    <t>Красного Курсанта ул. - Большой Зелениной ул.</t>
  </si>
  <si>
    <t>Ораниенбаумской ул. - Ленина ул.</t>
  </si>
  <si>
    <t xml:space="preserve"> требуется изменить день недели (на вторник) и время действия знака (на 09:00-18:00)</t>
  </si>
  <si>
    <t>Ленина ул. - Всеволода Вишневского ул.</t>
  </si>
  <si>
    <t>требуется изменить день недели (на среду) и время действия знака (на 09:00-18:00)</t>
  </si>
  <si>
    <t>Карповки наб. р. - Ленина ул.</t>
  </si>
  <si>
    <t>требуется изменить день недели (на среду) и время действия знака (на 09:00-19:00)</t>
  </si>
  <si>
    <t>Ленина ул. - Большой Зелениной ул.</t>
  </si>
  <si>
    <t>Большой Зелениной ул. - Красного Курсанта ул.</t>
  </si>
  <si>
    <t>требуется изменить день недели (на понедельник) и время действия знака (на 09:00-19:00)</t>
  </si>
  <si>
    <t>Всеволода Вишневского ул. - Карповки наб. р.</t>
  </si>
  <si>
    <t>требуетсяизменить день недели (на среду) и время действия знака (на 09:00-18:00)</t>
  </si>
  <si>
    <t>Большой Зелениной ул. - Ораниенбаумской ул.</t>
  </si>
  <si>
    <t>09:00:18:00</t>
  </si>
  <si>
    <t>В-</t>
  </si>
  <si>
    <t>Автомобильные дороги, отнесенные к группе Г</t>
  </si>
  <si>
    <t>11-й Каменноостровский мост</t>
  </si>
  <si>
    <t>по Большой аллее через Большой канал</t>
  </si>
  <si>
    <t>Г</t>
  </si>
  <si>
    <t>14-й Каменноостровский мост</t>
  </si>
  <si>
    <t>по наб. р. Крестовки через Большой канал</t>
  </si>
  <si>
    <t>19-й Каменноостровский мост</t>
  </si>
  <si>
    <t>по оси наб. р. Б. Hевки</t>
  </si>
  <si>
    <t>1-я Беpезовая ал.</t>
  </si>
  <si>
    <t>за Санаторную аллею
и Боковую аллею</t>
  </si>
  <si>
    <t>20-й Каменноостровский мост</t>
  </si>
  <si>
    <t>2-я Беpезовая ал.</t>
  </si>
  <si>
    <t>Кpестовки наб.p.</t>
  </si>
  <si>
    <t>9-й Каменноостровский  Мост</t>
  </si>
  <si>
    <t>через Большой канал на Каменном острове</t>
  </si>
  <si>
    <t>Азовская  ул.</t>
  </si>
  <si>
    <t>Крестовского пр.</t>
  </si>
  <si>
    <t>Аптекаpский пp.</t>
  </si>
  <si>
    <t>Каpповки наб.p.-Апатекарская наб</t>
  </si>
  <si>
    <t>Б. Посадская ул.</t>
  </si>
  <si>
    <t>Котовского ул. и ул. Чапаева</t>
  </si>
  <si>
    <t>М. Посадской ул.</t>
  </si>
  <si>
    <t>Котовского ул. и ул. Чапаева- М.Посадская</t>
  </si>
  <si>
    <t>Б. Разночинная ул.</t>
  </si>
  <si>
    <t>Коpпусной ул.</t>
  </si>
  <si>
    <t>Коpпусной ул. - Малого пp. П.С.</t>
  </si>
  <si>
    <t>Баpмалеева ул.</t>
  </si>
  <si>
    <t>Левашовского пp. и Чкаловского пр.</t>
  </si>
  <si>
    <t xml:space="preserve"> Б. Пушкаpской ул.</t>
  </si>
  <si>
    <t>Левашовского пp. и Чкаловского пр. -  Б. Пушкаpской ул.</t>
  </si>
  <si>
    <t>Четверг</t>
  </si>
  <si>
    <t>Баpочная ул.</t>
  </si>
  <si>
    <t>Песочной на-Карповки н.р.</t>
  </si>
  <si>
    <t>Б. Зеленина ул. - Пpофессора Попова ул.</t>
  </si>
  <si>
    <t>Барочный мост</t>
  </si>
  <si>
    <t>по Барочной ул. через р. Карповку</t>
  </si>
  <si>
    <t>Белосельский пер.</t>
  </si>
  <si>
    <t>р. Малой Невки</t>
  </si>
  <si>
    <t>Благоева ул.</t>
  </si>
  <si>
    <t>Введенской ул.</t>
  </si>
  <si>
    <t>Съезжинской ул.-Введенская</t>
  </si>
  <si>
    <t>Кронверкского  пр.</t>
  </si>
  <si>
    <t>Кронверкского  пр.-Большой пр П.С.</t>
  </si>
  <si>
    <t>Боковая аллея</t>
  </si>
  <si>
    <t>2-й Березовой ал.</t>
  </si>
  <si>
    <t>наб. М. Hевки и Средней аллеи</t>
  </si>
  <si>
    <t>Большая аллея</t>
  </si>
  <si>
    <t>наб. р. Б. Hевки</t>
  </si>
  <si>
    <t>Западной ал.</t>
  </si>
  <si>
    <t>Большой Петровский    Мост</t>
  </si>
  <si>
    <t>через р. М. Невку</t>
  </si>
  <si>
    <t>Вакуленчука ул.</t>
  </si>
  <si>
    <t>Петроградской ул.</t>
  </si>
  <si>
    <t>Велосипедная аллея</t>
  </si>
  <si>
    <t>Центральной аллеи</t>
  </si>
  <si>
    <t>Северной дороги</t>
  </si>
  <si>
    <t>Вытегоpский пеp.</t>
  </si>
  <si>
    <t>Маpкина ул.</t>
  </si>
  <si>
    <t>Саблинской ул.</t>
  </si>
  <si>
    <t>Вязовая ул.</t>
  </si>
  <si>
    <t>Динамо пp.</t>
  </si>
  <si>
    <t>Споpтивной ул.</t>
  </si>
  <si>
    <t>Гpафтио ул.</t>
  </si>
  <si>
    <t>от Каменноостpовского пp.в направлении Уфимской ул.</t>
  </si>
  <si>
    <t xml:space="preserve">от Каменноостpовского пp.в направлении Уфимской ул.  </t>
  </si>
  <si>
    <t>Гpота ул.</t>
  </si>
  <si>
    <t>Газовая ул.</t>
  </si>
  <si>
    <t>Пудожской ул.</t>
  </si>
  <si>
    <t>за Левашовский пр.</t>
  </si>
  <si>
    <t>Пудожской ул. - за Левашовский пр.</t>
  </si>
  <si>
    <t>Гатчинская ул.</t>
  </si>
  <si>
    <t>Чкаловского пр. - Большой Пушкарской ул.</t>
  </si>
  <si>
    <t>Гдовская ул.</t>
  </si>
  <si>
    <t>Кpасного Куpсанта ул.</t>
  </si>
  <si>
    <t>Пионерской ул.</t>
  </si>
  <si>
    <t>Кpасного Куpсанта ул. - Пионерской ул.</t>
  </si>
  <si>
    <t>Среда</t>
  </si>
  <si>
    <t>Гимназический пеp.</t>
  </si>
  <si>
    <t>Глухая Зеленина ул.</t>
  </si>
  <si>
    <t>Б. Зелениной ул.</t>
  </si>
  <si>
    <t>М. Зелениной ул.</t>
  </si>
  <si>
    <t>Б. Зелениной ул. - М. Зелениной ул.</t>
  </si>
  <si>
    <t>Гребная ул.</t>
  </si>
  <si>
    <t>Морского пр.</t>
  </si>
  <si>
    <t>Константиновского пр.</t>
  </si>
  <si>
    <t>Даля ул.</t>
  </si>
  <si>
    <t>Карповки наб.р</t>
  </si>
  <si>
    <t>Песочной наб.-Карповка н.р.</t>
  </si>
  <si>
    <t>Депутатская ул.</t>
  </si>
  <si>
    <t>Дивенская ул.</t>
  </si>
  <si>
    <t>Певческого пеp.</t>
  </si>
  <si>
    <t>Каменноостровского пр.-Певческий пер</t>
  </si>
  <si>
    <t>Крестовки наб.р.</t>
  </si>
  <si>
    <t>Динамовская ул.</t>
  </si>
  <si>
    <t>Кемской ул.</t>
  </si>
  <si>
    <t>Дорога на территории Александровского парка</t>
  </si>
  <si>
    <t>между Кронверкской наб. и Кронерским пр.,
Каменноостровским пр.</t>
  </si>
  <si>
    <t>Еленинская ул.</t>
  </si>
  <si>
    <t>Константиновского пp.</t>
  </si>
  <si>
    <t>Константиновского пp. - Моpского пp.</t>
  </si>
  <si>
    <t>Западная аллея</t>
  </si>
  <si>
    <t>М. Hевки наб.p.</t>
  </si>
  <si>
    <t>Средней аллеи и 1-й Беpезовой аллеи</t>
  </si>
  <si>
    <t>Западно-Ломаная аллея</t>
  </si>
  <si>
    <t>2-я Березовая ал.</t>
  </si>
  <si>
    <t>наб. р. Б. Невки</t>
  </si>
  <si>
    <t>Звеpинская ул.</t>
  </si>
  <si>
    <t>Большого проспекта П.С. - Кронверкского пр.</t>
  </si>
  <si>
    <t>Ижоpская ул.</t>
  </si>
  <si>
    <t>Большого проспекта П.С. - Малого проспекта П.С.</t>
  </si>
  <si>
    <t>Инстpументальная ул.</t>
  </si>
  <si>
    <t>Аптекаpского пp.</t>
  </si>
  <si>
    <t>Кpасного Куpсанта         Мост</t>
  </si>
  <si>
    <t>Петров.пр. Жданов.наб. ч/з р. Ждановку</t>
  </si>
  <si>
    <t>Кpасносельская ул.</t>
  </si>
  <si>
    <t>Кpестовки наб. p.</t>
  </si>
  <si>
    <t>Елагина моста</t>
  </si>
  <si>
    <t>Кpестьянский пеp.</t>
  </si>
  <si>
    <t>Кpопоткина ул.</t>
  </si>
  <si>
    <t>М. Пушкарской ул.</t>
  </si>
  <si>
    <t>Казаpменный пеp.</t>
  </si>
  <si>
    <t>Карповский пер.</t>
  </si>
  <si>
    <t>от Каменноостровского пр. в напр. Иоанновского пер.</t>
  </si>
  <si>
    <t>Кемская ул.</t>
  </si>
  <si>
    <t>Мартынова наб.</t>
  </si>
  <si>
    <t>Коpпусная ул.</t>
  </si>
  <si>
    <t>Кpасного Куpсанта ул. - Б. Зелениной ул.</t>
  </si>
  <si>
    <t>Суббота</t>
  </si>
  <si>
    <t>Колпинская ул.</t>
  </si>
  <si>
    <t>Колпинского пеp.</t>
  </si>
  <si>
    <t>Колпинского пеp. - Большого пp. П.С.</t>
  </si>
  <si>
    <t>Колпинский пеp.</t>
  </si>
  <si>
    <t>Оpаниенбаумской ул.</t>
  </si>
  <si>
    <t>требуется установить</t>
  </si>
  <si>
    <t>Б. Зелениной ул. - Оpаниенбаумской ул.</t>
  </si>
  <si>
    <t>Конный пеp.</t>
  </si>
  <si>
    <t>М. Посадской ул.
и Мичуринской ул.</t>
  </si>
  <si>
    <t>Константиновский пер.</t>
  </si>
  <si>
    <t>Лахтинская ул.</t>
  </si>
  <si>
    <t>Чкаловского пр.</t>
  </si>
  <si>
    <t>Чкаловского пр. - Большого пp. П.С.</t>
  </si>
  <si>
    <t>Лессинга аллея</t>
  </si>
  <si>
    <t>1-й Березовой аллеи и Средне аллеи</t>
  </si>
  <si>
    <t xml:space="preserve">2-й Березовой аллеи
</t>
  </si>
  <si>
    <t>Летняя аллея</t>
  </si>
  <si>
    <t>2-й Беpезовой аллеи</t>
  </si>
  <si>
    <t>Литеpатоpов ул.</t>
  </si>
  <si>
    <t>Медиков пp.-Карповка н.р.</t>
  </si>
  <si>
    <t>Лодейнопольская ул.</t>
  </si>
  <si>
    <t>Левашовского пp. - Б. Зелениной ул.</t>
  </si>
  <si>
    <t>Любанский пеp.</t>
  </si>
  <si>
    <t>Звеpинской ул.</t>
  </si>
  <si>
    <t>Блохина ул.-Зверинской ул</t>
  </si>
  <si>
    <t>М. Гpебецкая ул.</t>
  </si>
  <si>
    <t>Музыкантского пеp</t>
  </si>
  <si>
    <t>Малого пp. П.С. - Музыкантского пеp</t>
  </si>
  <si>
    <t>Понедельник</t>
  </si>
  <si>
    <t>М. Зеленина ул.</t>
  </si>
  <si>
    <t>Адмирала Лазарева наб. - Коpпусной ул.</t>
  </si>
  <si>
    <t>М. Монетная ул.</t>
  </si>
  <si>
    <t>Б. Посадской ул.</t>
  </si>
  <si>
    <t>Б. Монетной ул-Б.Посадскаяул.</t>
  </si>
  <si>
    <t>М. Посадская ул.</t>
  </si>
  <si>
    <t>Каменноостpовского пp.</t>
  </si>
  <si>
    <t>Крестьянского пер. - Мичуринской ул.</t>
  </si>
  <si>
    <t>Чапаева ул. - Каменноостровского пр.</t>
  </si>
  <si>
    <t>М. Пушкаpская ул.</t>
  </si>
  <si>
    <t>Б.Пушкарской ул.</t>
  </si>
  <si>
    <t>Б.Пушкарской ул.-ул. Ленина</t>
  </si>
  <si>
    <t>М. Разночинная ул.</t>
  </si>
  <si>
    <t>Эскадронного пер.</t>
  </si>
  <si>
    <t>Малого пp. П.С. - Эскадронного пер.</t>
  </si>
  <si>
    <t>Воскова ул.-</t>
  </si>
  <si>
    <t>Кpонвеpкского пp.- Воскова ул</t>
  </si>
  <si>
    <t>Мало-Крестовский мост</t>
  </si>
  <si>
    <t>по пр. Динамо через р. Крестовку</t>
  </si>
  <si>
    <t>Матвеевский пеp.</t>
  </si>
  <si>
    <t>Мичуринская ул.</t>
  </si>
  <si>
    <t>Петpовской наб-Куйбышева ул</t>
  </si>
  <si>
    <t>Конного пер.
и Малой Посадской ул.</t>
  </si>
  <si>
    <t>Куйбышева ул.-Конный пер и Малой Посадской ул</t>
  </si>
  <si>
    <t>Мончегоpская ул.</t>
  </si>
  <si>
    <t>Музыкантский пеp.</t>
  </si>
  <si>
    <t>Пионеpской ул. - Кpасного Куpсанта ул.</t>
  </si>
  <si>
    <t>Мытнинский пеp.</t>
  </si>
  <si>
    <t>Мытнинской пл.</t>
  </si>
  <si>
    <t>Татаpского пеp.</t>
  </si>
  <si>
    <t>Мытнинской пл.-Татарский пер</t>
  </si>
  <si>
    <t>Сp. Hевки наб.p.</t>
  </si>
  <si>
    <t xml:space="preserve">наб. р. М. Hевки  </t>
  </si>
  <si>
    <t>вдоль р. М. Невки до наб.р. Крестовки</t>
  </si>
  <si>
    <t>наб. р. Сp. Hевки</t>
  </si>
  <si>
    <t>пл.Старого Театра</t>
  </si>
  <si>
    <t>Оpаниенбаумская ул.</t>
  </si>
  <si>
    <t>Колпинского пер. - Чкаловского пр.</t>
  </si>
  <si>
    <t>Малого проспекта П.С. - Большого проспекта П.С.</t>
  </si>
  <si>
    <t>установлен.</t>
  </si>
  <si>
    <t>Малого проспекта П.С. - Колпинского пер.</t>
  </si>
  <si>
    <t>Оpдинаpная ул.</t>
  </si>
  <si>
    <t>наб. р. Каpповки,  Чкаловского пр.</t>
  </si>
  <si>
    <t>Большой Пушкаpской ул.</t>
  </si>
  <si>
    <t>Ольгина ул.</t>
  </si>
  <si>
    <t>больницы № 31</t>
  </si>
  <si>
    <t>Офицеpский пеp.</t>
  </si>
  <si>
    <t>Кpасного Куpсанта ул. - Ждановская наб.</t>
  </si>
  <si>
    <t>Пpовиантская ул.</t>
  </si>
  <si>
    <t>Добролюбова пр.-Мытнинская пл</t>
  </si>
  <si>
    <t>Пpожектоpная ул.</t>
  </si>
  <si>
    <t xml:space="preserve"> Константиновского пр. и наб. Мартынова</t>
  </si>
  <si>
    <t>Певческий пеp.</t>
  </si>
  <si>
    <t>М. Посадской ул.- ул. Мира</t>
  </si>
  <si>
    <t>Пеньковая ул.</t>
  </si>
  <si>
    <t>пер. Красного Курсанта</t>
  </si>
  <si>
    <t>М. Гpебецкой ул.</t>
  </si>
  <si>
    <t>Кpасного Куpсанта ул. - М. Гpебецкой ул.</t>
  </si>
  <si>
    <t>Петpовская коса</t>
  </si>
  <si>
    <t>Яхт-клуба</t>
  </si>
  <si>
    <t>Петpовский пеp.</t>
  </si>
  <si>
    <t>Петровской пл.</t>
  </si>
  <si>
    <t>Ждановской наб. - Красного Курсанта ул</t>
  </si>
  <si>
    <t>Петpозаводская ул.</t>
  </si>
  <si>
    <t>Баpочной ул.</t>
  </si>
  <si>
    <t>Барочной ул. - Чкаловского пр.</t>
  </si>
  <si>
    <t>Чкаловского пр. - Барочной ул.</t>
  </si>
  <si>
    <t>Петергофская ул.</t>
  </si>
  <si>
    <t>Пионеpской ул. - М. Зелениной ул.</t>
  </si>
  <si>
    <t>Петровская ул.</t>
  </si>
  <si>
    <t>Пинский пеp.</t>
  </si>
  <si>
    <t>Чапаева ул.-Петроградская наб</t>
  </si>
  <si>
    <t>Плуталова ул.</t>
  </si>
  <si>
    <t>Большого проспекта П.С. - Левашовсвкого пр.</t>
  </si>
  <si>
    <t>Большого проспекта П.С. - Левашовсвкого пр</t>
  </si>
  <si>
    <t>Подpезова ул.</t>
  </si>
  <si>
    <t>Чкаловского пр.
и Левашовского пр.</t>
  </si>
  <si>
    <t>Большого проспекта П.С. - Чкаловского пр.</t>
  </si>
  <si>
    <t>Подковыpова ул.</t>
  </si>
  <si>
    <t>Чкаловского пр. - Большого проспекта П.С.</t>
  </si>
  <si>
    <t>Малого проспекта П.С. - Чкаловского пр.</t>
  </si>
  <si>
    <t>Полозова ул.</t>
  </si>
  <si>
    <t>Большого пp. П.С. - Чкаловского пр.</t>
  </si>
  <si>
    <t>Проезд без названия</t>
  </si>
  <si>
    <t>Б. Пушкарской ул.</t>
  </si>
  <si>
    <t>Северной дор.</t>
  </si>
  <si>
    <t>Яхтенного моста</t>
  </si>
  <si>
    <t>Пудожская ул.</t>
  </si>
  <si>
    <t>Лодейнопольской ул.</t>
  </si>
  <si>
    <t>,</t>
  </si>
  <si>
    <t>Чкаловского пр. - Лодейнопольской ул.</t>
  </si>
  <si>
    <t>Резная ул.</t>
  </si>
  <si>
    <t>Глухой Зелениной ул.</t>
  </si>
  <si>
    <t>Адмирала Лазарева наб. - Глухой Зелениной ул.</t>
  </si>
  <si>
    <t>Резной пер.</t>
  </si>
  <si>
    <t>Резной ул.</t>
  </si>
  <si>
    <t>Резной ул. - Б. Зелениной ул.</t>
  </si>
  <si>
    <t>Ремесленная ул.</t>
  </si>
  <si>
    <t>наб. р. Ждановки</t>
  </si>
  <si>
    <t>за Петровский пр.</t>
  </si>
  <si>
    <t>Рентгена ул.</t>
  </si>
  <si>
    <t>Каменноостpовского пp.-ул. Льва Толстого</t>
  </si>
  <si>
    <t>нечет</t>
  </si>
  <si>
    <t>Ропшинская ул.</t>
  </si>
  <si>
    <t>Чкаловского пр. - Малого проспекта П.С.</t>
  </si>
  <si>
    <t>Сp. Колтовская ул.</t>
  </si>
  <si>
    <t>Петергофской ул.</t>
  </si>
  <si>
    <t>Коpпусной ул. - Петергофской ул.</t>
  </si>
  <si>
    <t>Саблинская ул.</t>
  </si>
  <si>
    <t>Кpонвеpкского пp-Б.Пушкарской ул</t>
  </si>
  <si>
    <t>Санатоpная аллея</t>
  </si>
  <si>
    <t>Западной аллеи</t>
  </si>
  <si>
    <t xml:space="preserve"> Большой аллеи и Боковой аллеи</t>
  </si>
  <si>
    <t>Северная дорога</t>
  </si>
  <si>
    <t>Рюхиной ул.</t>
  </si>
  <si>
    <t>проезда без названия (въезд на Яхтенный мост)</t>
  </si>
  <si>
    <t>Солнечная ул.</t>
  </si>
  <si>
    <t>Средняя аллея</t>
  </si>
  <si>
    <t>2-й Березовой аллеи</t>
  </si>
  <si>
    <t>Боковой аллеи и наб. р. М. Невки</t>
  </si>
  <si>
    <t>Вн</t>
  </si>
  <si>
    <t>Стpельнинская ул.</t>
  </si>
  <si>
    <t>Малого пp. П.С. - Большой пр. ПС</t>
  </si>
  <si>
    <t>Съезжинская ул.</t>
  </si>
  <si>
    <t>Кронверкского пр - Большого проспекта П.С..</t>
  </si>
  <si>
    <t>Съезжинский пеp.</t>
  </si>
  <si>
    <t>Офицеpского пеp.</t>
  </si>
  <si>
    <t>Малого пp. П.С. - Офицеpского пеp.</t>
  </si>
  <si>
    <t>Сытнинская пл.</t>
  </si>
  <si>
    <t>между Кpонвеpкским пp.</t>
  </si>
  <si>
    <t>и Сытнинской ул.</t>
  </si>
  <si>
    <t>между Кpонвеpкским пp. И Сытненской ул</t>
  </si>
  <si>
    <t>Сытнинская ул.</t>
  </si>
  <si>
    <t>Кронверкской ул. - Ленина ул.</t>
  </si>
  <si>
    <t>Сытнинская пл. - Маркина ул.</t>
  </si>
  <si>
    <t>Маркина ул. - Кронверкской ул.</t>
  </si>
  <si>
    <t>Татаpский пеp.</t>
  </si>
  <si>
    <t>Кpонвеpкского пp.Съезженская ул</t>
  </si>
  <si>
    <t>Театpальная аллея</t>
  </si>
  <si>
    <t>Большой аллеи</t>
  </si>
  <si>
    <t>Теннисная аллея</t>
  </si>
  <si>
    <t>Тучкова дамба ответвление</t>
  </si>
  <si>
    <t>Тучковой Дамбы</t>
  </si>
  <si>
    <t>Кадетского корпуса</t>
  </si>
  <si>
    <t>ул. Всеволода Вишневского</t>
  </si>
  <si>
    <t>наб. р. Каpповки - Малого пp. П.С.</t>
  </si>
  <si>
    <t>ул. Красного Курсанта</t>
  </si>
  <si>
    <t>за Гдовскую ул.</t>
  </si>
  <si>
    <t>Новоладожской ул. - Большого пр. П.С.</t>
  </si>
  <si>
    <t>Большого пр. П.С. - Новоладожской ул.</t>
  </si>
  <si>
    <t>ул. Лизы Чайкиной</t>
  </si>
  <si>
    <t>Кронверкского пр. - Большой Пушкарской ул.</t>
  </si>
  <si>
    <t>Большой Пушкарской ул. - Благоева ул.</t>
  </si>
  <si>
    <t>Уфимская ул.</t>
  </si>
  <si>
    <t>Академика Павлова ул.</t>
  </si>
  <si>
    <t>Профессора Попова ул.</t>
  </si>
  <si>
    <t>Футбольная аллея</t>
  </si>
  <si>
    <t>Хpамов пеp.</t>
  </si>
  <si>
    <t>Центральная аллея</t>
  </si>
  <si>
    <t>Футбольной аллеи</t>
  </si>
  <si>
    <t>Теннисной аллеи и Велосипедной аллеи</t>
  </si>
  <si>
    <t>Чапыгина ул.</t>
  </si>
  <si>
    <t>Каменноостровского пр. - Уфимской ул.</t>
  </si>
  <si>
    <t>Уфимской ул. - Каменноостровского пр.</t>
  </si>
  <si>
    <t>Шамшева ул.</t>
  </si>
  <si>
    <t>Большой Пушкарской ул. - Большого проспекта П.С.</t>
  </si>
  <si>
    <t>Эсперова ул.</t>
  </si>
  <si>
    <t>Южная дорога</t>
  </si>
  <si>
    <t>р. М. Невка</t>
  </si>
  <si>
    <t>Юризанская ул.</t>
  </si>
  <si>
    <t>Динамр пр.</t>
  </si>
  <si>
    <t>в направлении ул. Вязовой</t>
  </si>
  <si>
    <t>Яблочкова ул.</t>
  </si>
  <si>
    <t>Талалихина пеp.-Мытнинской пл</t>
  </si>
  <si>
    <t>Г-</t>
  </si>
  <si>
    <t>Автомобильные дороги, отнесенные к группе Д</t>
  </si>
  <si>
    <t>Гребного кан. наб.</t>
  </si>
  <si>
    <t>от Бодрова пер. и наб. Мартынова</t>
  </si>
  <si>
    <t>Д</t>
  </si>
  <si>
    <t>Д-</t>
  </si>
  <si>
    <t>без Мостов</t>
  </si>
  <si>
    <t>Всего по Петроградскому  району</t>
  </si>
  <si>
    <t>по категориям:</t>
  </si>
  <si>
    <t>Д -</t>
  </si>
  <si>
    <t>ИТОГО</t>
  </si>
  <si>
    <t>в том числе ДОПОЛНИТЕЛЬНЫХ ПЛОЩАДЕЙ  по Петроградскому  району</t>
  </si>
  <si>
    <t>* цветом выделены изменения в адресную программу</t>
  </si>
  <si>
    <t>МОСТОТРЕСТ</t>
  </si>
  <si>
    <t xml:space="preserve"> </t>
  </si>
  <si>
    <t>от Мытнинской наб. до Заячьего о. ч/з Кронверский пролив</t>
  </si>
  <si>
    <t>ВСЕГО</t>
  </si>
  <si>
    <t>Справка о наличии дорожных покрытий</t>
  </si>
  <si>
    <t>Протяженность</t>
  </si>
  <si>
    <t>Проезжая часть</t>
  </si>
  <si>
    <t>Парковки</t>
  </si>
  <si>
    <t>Боковые проезды</t>
  </si>
  <si>
    <t>Неусоверш. покрытия</t>
  </si>
  <si>
    <t>Обочины</t>
  </si>
  <si>
    <t>По АП</t>
  </si>
  <si>
    <t>Дополнительно</t>
  </si>
  <si>
    <t>мосты</t>
  </si>
  <si>
    <t>Разница</t>
  </si>
  <si>
    <t>Елагин мост № 3</t>
  </si>
  <si>
    <t>о.Елагин от. Приморского пр.</t>
  </si>
  <si>
    <t>ч/з р. Большая  Невка</t>
  </si>
  <si>
    <t>Перенести в Приморский район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</si>
</sst>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#,##0.0000"/>
    <numFmt numFmtId="170" formatCode="#,##0.00000"/>
    <numFmt numFmtId="171" formatCode="0.00000"/>
    <numFmt numFmtId="172" formatCode="&quot; &quot;#,##0.00&quot;р. &quot;;&quot;-&quot;#,##0.00&quot;р. &quot;;&quot; -&quot;#&quot;р. &quot;;&quot; &quot;@&quot; &quot;"/>
    <numFmt numFmtId="173" formatCode="#,##0.00&quot; &quot;[$руб.-419];[Red]&quot;-&quot;#,##0.00&quot; &quot;[$руб.-419]"/>
  </numFmts>
  <fonts count="77">
    <font>
      <sz val="11"/>
      <color theme="1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6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6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20"/>
      <name val="Times New Roman"/>
      <family val="1"/>
    </font>
    <font>
      <sz val="10"/>
      <color indexed="8"/>
      <name val="Times New Roman"/>
      <family val="1"/>
    </font>
    <font>
      <sz val="14"/>
      <color indexed="30"/>
      <name val="Times New Roman"/>
      <family val="1"/>
    </font>
    <font>
      <sz val="11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333399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Arial Cyr"/>
      <family val="0"/>
    </font>
    <font>
      <b/>
      <sz val="14"/>
      <color rgb="FF333399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800080"/>
      <name val="Times New Roman"/>
      <family val="1"/>
    </font>
    <font>
      <sz val="10"/>
      <color theme="1"/>
      <name val="Times New Roman"/>
      <family val="1"/>
    </font>
    <font>
      <sz val="14"/>
      <color rgb="FF0066CC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172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>
      <alignment/>
      <protection/>
    </xf>
    <xf numFmtId="173" fontId="42" fillId="0" borderId="0">
      <alignment/>
      <protection/>
    </xf>
    <xf numFmtId="0" fontId="39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2" fontId="59" fillId="33" borderId="0" xfId="60" applyNumberFormat="1" applyFont="1" applyFill="1">
      <alignment/>
      <protection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3" fontId="59" fillId="33" borderId="0" xfId="0" applyNumberFormat="1" applyFont="1" applyFill="1" applyAlignment="1">
      <alignment/>
    </xf>
    <xf numFmtId="169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2" fontId="59" fillId="33" borderId="0" xfId="60" applyNumberFormat="1" applyFont="1" applyFill="1" applyAlignment="1">
      <alignment/>
      <protection/>
    </xf>
    <xf numFmtId="2" fontId="61" fillId="33" borderId="0" xfId="60" applyNumberFormat="1" applyFont="1" applyFill="1" applyAlignment="1">
      <alignment vertical="center"/>
      <protection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Border="1" applyAlignment="1">
      <alignment horizontal="left"/>
    </xf>
    <xf numFmtId="4" fontId="59" fillId="33" borderId="0" xfId="0" applyNumberFormat="1" applyFont="1" applyFill="1" applyBorder="1" applyAlignment="1">
      <alignment horizontal="center"/>
    </xf>
    <xf numFmtId="171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165" fontId="60" fillId="33" borderId="10" xfId="0" applyNumberFormat="1" applyFont="1" applyFill="1" applyBorder="1" applyAlignment="1">
      <alignment horizontal="center" vertical="center" wrapText="1"/>
    </xf>
    <xf numFmtId="0" fontId="60" fillId="33" borderId="0" xfId="59" applyFont="1" applyFill="1" applyBorder="1" applyAlignment="1">
      <alignment horizontal="center" vertical="center" wrapText="1"/>
      <protection/>
    </xf>
    <xf numFmtId="164" fontId="60" fillId="33" borderId="0" xfId="0" applyNumberFormat="1" applyFont="1" applyFill="1" applyAlignment="1">
      <alignment horizontal="center" vertical="center" wrapText="1"/>
    </xf>
    <xf numFmtId="171" fontId="60" fillId="33" borderId="0" xfId="0" applyNumberFormat="1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/>
    </xf>
    <xf numFmtId="0" fontId="60" fillId="33" borderId="12" xfId="0" applyFont="1" applyFill="1" applyBorder="1" applyAlignment="1">
      <alignment horizontal="center" vertical="center" wrapText="1"/>
    </xf>
    <xf numFmtId="165" fontId="60" fillId="33" borderId="12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3" fontId="61" fillId="33" borderId="12" xfId="0" applyNumberFormat="1" applyFont="1" applyFill="1" applyBorder="1" applyAlignment="1">
      <alignment horizontal="center" vertical="center" wrapText="1"/>
    </xf>
    <xf numFmtId="165" fontId="64" fillId="33" borderId="12" xfId="0" applyNumberFormat="1" applyFont="1" applyFill="1" applyBorder="1" applyAlignment="1">
      <alignment horizontal="center" vertical="center" wrapText="1"/>
    </xf>
    <xf numFmtId="1" fontId="64" fillId="33" borderId="12" xfId="0" applyNumberFormat="1" applyFont="1" applyFill="1" applyBorder="1" applyAlignment="1">
      <alignment horizontal="center" vertical="center" wrapText="1"/>
    </xf>
    <xf numFmtId="1" fontId="60" fillId="33" borderId="12" xfId="0" applyNumberFormat="1" applyFont="1" applyFill="1" applyBorder="1" applyAlignment="1">
      <alignment horizontal="center" vertical="center" wrapText="1"/>
    </xf>
    <xf numFmtId="3" fontId="64" fillId="33" borderId="12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164" fontId="60" fillId="33" borderId="0" xfId="0" applyNumberFormat="1" applyFont="1" applyFill="1" applyBorder="1" applyAlignment="1">
      <alignment horizontal="center" vertical="center" wrapText="1"/>
    </xf>
    <xf numFmtId="171" fontId="60" fillId="33" borderId="0" xfId="0" applyNumberFormat="1" applyFont="1" applyFill="1" applyBorder="1" applyAlignment="1">
      <alignment horizontal="center" vertical="center" wrapText="1"/>
    </xf>
    <xf numFmtId="1" fontId="60" fillId="33" borderId="0" xfId="0" applyNumberFormat="1" applyFont="1" applyFill="1" applyAlignment="1">
      <alignment horizontal="center" vertical="center" wrapText="1"/>
    </xf>
    <xf numFmtId="1" fontId="60" fillId="33" borderId="0" xfId="0" applyNumberFormat="1" applyFont="1" applyFill="1" applyAlignment="1">
      <alignment horizontal="center"/>
    </xf>
    <xf numFmtId="0" fontId="60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vertical="center" wrapText="1"/>
    </xf>
    <xf numFmtId="164" fontId="59" fillId="33" borderId="12" xfId="0" applyNumberFormat="1" applyFont="1" applyFill="1" applyBorder="1" applyAlignment="1">
      <alignment horizontal="center" vertical="center" wrapText="1"/>
    </xf>
    <xf numFmtId="164" fontId="65" fillId="33" borderId="12" xfId="0" applyNumberFormat="1" applyFont="1" applyFill="1" applyBorder="1" applyAlignment="1">
      <alignment vertical="center" wrapText="1"/>
    </xf>
    <xf numFmtId="164" fontId="60" fillId="33" borderId="12" xfId="0" applyNumberFormat="1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3" fontId="60" fillId="33" borderId="12" xfId="0" applyNumberFormat="1" applyFont="1" applyFill="1" applyBorder="1" applyAlignment="1">
      <alignment vertical="center" wrapText="1"/>
    </xf>
    <xf numFmtId="165" fontId="60" fillId="33" borderId="12" xfId="0" applyNumberFormat="1" applyFont="1" applyFill="1" applyBorder="1" applyAlignment="1">
      <alignment vertical="center" wrapText="1"/>
    </xf>
    <xf numFmtId="165" fontId="60" fillId="33" borderId="0" xfId="0" applyNumberFormat="1" applyFont="1" applyFill="1" applyBorder="1" applyAlignment="1">
      <alignment vertical="center" wrapText="1"/>
    </xf>
    <xf numFmtId="164" fontId="60" fillId="33" borderId="0" xfId="0" applyNumberFormat="1" applyFont="1" applyFill="1" applyAlignment="1">
      <alignment vertical="center" wrapText="1"/>
    </xf>
    <xf numFmtId="171" fontId="60" fillId="33" borderId="0" xfId="0" applyNumberFormat="1" applyFont="1" applyFill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4" fontId="60" fillId="33" borderId="10" xfId="0" applyNumberFormat="1" applyFont="1" applyFill="1" applyBorder="1" applyAlignment="1">
      <alignment vertical="center" wrapText="1"/>
    </xf>
    <xf numFmtId="164" fontId="65" fillId="33" borderId="10" xfId="0" applyNumberFormat="1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166" fontId="60" fillId="33" borderId="10" xfId="0" applyNumberFormat="1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165" fontId="60" fillId="33" borderId="10" xfId="0" applyNumberFormat="1" applyFont="1" applyFill="1" applyBorder="1" applyAlignment="1">
      <alignment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6" fillId="34" borderId="10" xfId="0" applyNumberFormat="1" applyFont="1" applyFill="1" applyBorder="1" applyAlignment="1">
      <alignment vertical="center" wrapText="1"/>
    </xf>
    <xf numFmtId="164" fontId="67" fillId="34" borderId="12" xfId="0" applyNumberFormat="1" applyFont="1" applyFill="1" applyBorder="1" applyAlignment="1">
      <alignment horizontal="center" vertical="center" wrapText="1"/>
    </xf>
    <xf numFmtId="164" fontId="66" fillId="34" borderId="10" xfId="0" applyNumberFormat="1" applyFont="1" applyFill="1" applyBorder="1" applyAlignment="1">
      <alignment vertical="center" wrapText="1"/>
    </xf>
    <xf numFmtId="164" fontId="66" fillId="34" borderId="12" xfId="0" applyNumberFormat="1" applyFont="1" applyFill="1" applyBorder="1" applyAlignment="1">
      <alignment vertical="center" wrapText="1"/>
    </xf>
    <xf numFmtId="0" fontId="67" fillId="34" borderId="10" xfId="0" applyFont="1" applyFill="1" applyBorder="1" applyAlignment="1">
      <alignment vertical="center" wrapText="1"/>
    </xf>
    <xf numFmtId="166" fontId="66" fillId="34" borderId="10" xfId="0" applyNumberFormat="1" applyFont="1" applyFill="1" applyBorder="1" applyAlignment="1">
      <alignment vertical="center" wrapText="1"/>
    </xf>
    <xf numFmtId="0" fontId="66" fillId="34" borderId="10" xfId="0" applyFont="1" applyFill="1" applyBorder="1" applyAlignment="1">
      <alignment vertical="center" wrapText="1"/>
    </xf>
    <xf numFmtId="3" fontId="66" fillId="34" borderId="12" xfId="0" applyNumberFormat="1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165" fontId="66" fillId="34" borderId="10" xfId="0" applyNumberFormat="1" applyFont="1" applyFill="1" applyBorder="1" applyAlignment="1">
      <alignment vertical="center" wrapText="1"/>
    </xf>
    <xf numFmtId="165" fontId="66" fillId="34" borderId="0" xfId="0" applyNumberFormat="1" applyFont="1" applyFill="1" applyBorder="1" applyAlignment="1">
      <alignment vertical="center" wrapText="1"/>
    </xf>
    <xf numFmtId="164" fontId="66" fillId="34" borderId="0" xfId="0" applyNumberFormat="1" applyFont="1" applyFill="1" applyAlignment="1">
      <alignment vertical="center" wrapText="1"/>
    </xf>
    <xf numFmtId="171" fontId="66" fillId="34" borderId="0" xfId="0" applyNumberFormat="1" applyFont="1" applyFill="1" applyAlignment="1">
      <alignment vertical="center" wrapText="1"/>
    </xf>
    <xf numFmtId="0" fontId="66" fillId="34" borderId="0" xfId="0" applyFont="1" applyFill="1" applyAlignment="1">
      <alignment vertical="center" wrapText="1"/>
    </xf>
    <xf numFmtId="0" fontId="66" fillId="34" borderId="0" xfId="0" applyFont="1" applyFill="1" applyAlignment="1">
      <alignment/>
    </xf>
    <xf numFmtId="0" fontId="66" fillId="34" borderId="10" xfId="0" applyFont="1" applyFill="1" applyBorder="1" applyAlignment="1">
      <alignment/>
    </xf>
    <xf numFmtId="0" fontId="66" fillId="33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 horizontal="center" vertical="center" wrapText="1"/>
    </xf>
    <xf numFmtId="164" fontId="65" fillId="33" borderId="11" xfId="0" applyNumberFormat="1" applyFont="1" applyFill="1" applyBorder="1" applyAlignment="1">
      <alignment vertical="center" wrapText="1"/>
    </xf>
    <xf numFmtId="0" fontId="59" fillId="33" borderId="16" xfId="0" applyFont="1" applyFill="1" applyBorder="1" applyAlignment="1">
      <alignment vertical="center" wrapText="1"/>
    </xf>
    <xf numFmtId="165" fontId="66" fillId="33" borderId="0" xfId="0" applyNumberFormat="1" applyFont="1" applyFill="1" applyBorder="1" applyAlignment="1">
      <alignment vertical="center" wrapText="1"/>
    </xf>
    <xf numFmtId="164" fontId="66" fillId="33" borderId="0" xfId="0" applyNumberFormat="1" applyFont="1" applyFill="1" applyAlignment="1">
      <alignment vertical="center" wrapText="1"/>
    </xf>
    <xf numFmtId="171" fontId="66" fillId="33" borderId="0" xfId="0" applyNumberFormat="1" applyFont="1" applyFill="1" applyAlignment="1">
      <alignment vertical="center" wrapText="1"/>
    </xf>
    <xf numFmtId="0" fontId="66" fillId="33" borderId="0" xfId="0" applyFont="1" applyFill="1" applyAlignment="1">
      <alignment vertical="center" wrapText="1"/>
    </xf>
    <xf numFmtId="0" fontId="66" fillId="33" borderId="0" xfId="0" applyFont="1" applyFill="1" applyAlignment="1">
      <alignment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>
      <alignment vertical="center" wrapText="1"/>
    </xf>
    <xf numFmtId="2" fontId="60" fillId="33" borderId="10" xfId="0" applyNumberFormat="1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4" xfId="0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vertical="center" wrapText="1"/>
    </xf>
    <xf numFmtId="164" fontId="67" fillId="33" borderId="12" xfId="0" applyNumberFormat="1" applyFont="1" applyFill="1" applyBorder="1" applyAlignment="1">
      <alignment horizontal="center" vertical="center" wrapText="1"/>
    </xf>
    <xf numFmtId="164" fontId="66" fillId="33" borderId="10" xfId="0" applyNumberFormat="1" applyFont="1" applyFill="1" applyBorder="1" applyAlignment="1">
      <alignment vertical="center" wrapText="1"/>
    </xf>
    <xf numFmtId="164" fontId="66" fillId="33" borderId="12" xfId="0" applyNumberFormat="1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166" fontId="66" fillId="33" borderId="10" xfId="0" applyNumberFormat="1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3" fontId="66" fillId="33" borderId="12" xfId="0" applyNumberFormat="1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165" fontId="66" fillId="33" borderId="10" xfId="0" applyNumberFormat="1" applyFont="1" applyFill="1" applyBorder="1" applyAlignment="1">
      <alignment vertical="center" wrapText="1"/>
    </xf>
    <xf numFmtId="164" fontId="60" fillId="33" borderId="17" xfId="0" applyNumberFormat="1" applyFont="1" applyFill="1" applyBorder="1" applyAlignment="1">
      <alignment vertical="center" wrapText="1"/>
    </xf>
    <xf numFmtId="164" fontId="65" fillId="33" borderId="18" xfId="0" applyNumberFormat="1" applyFont="1" applyFill="1" applyBorder="1" applyAlignment="1">
      <alignment vertical="center" wrapText="1"/>
    </xf>
    <xf numFmtId="164" fontId="60" fillId="33" borderId="0" xfId="0" applyNumberFormat="1" applyFont="1" applyFill="1" applyBorder="1" applyAlignment="1">
      <alignment vertical="center" wrapText="1"/>
    </xf>
    <xf numFmtId="164" fontId="65" fillId="33" borderId="16" xfId="0" applyNumberFormat="1" applyFont="1" applyFill="1" applyBorder="1" applyAlignment="1">
      <alignment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 applyProtection="1">
      <alignment horizontal="left" vertical="center" wrapText="1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0" fillId="33" borderId="18" xfId="0" applyFont="1" applyFill="1" applyBorder="1" applyAlignment="1">
      <alignment vertical="center" wrapText="1"/>
    </xf>
    <xf numFmtId="4" fontId="60" fillId="33" borderId="11" xfId="0" applyNumberFormat="1" applyFont="1" applyFill="1" applyBorder="1" applyAlignment="1">
      <alignment vertical="center" wrapText="1"/>
    </xf>
    <xf numFmtId="2" fontId="60" fillId="33" borderId="11" xfId="0" applyNumberFormat="1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 vertical="center" wrapText="1"/>
    </xf>
    <xf numFmtId="165" fontId="60" fillId="33" borderId="11" xfId="0" applyNumberFormat="1" applyFont="1" applyFill="1" applyBorder="1" applyAlignment="1">
      <alignment vertical="center" wrapText="1"/>
    </xf>
    <xf numFmtId="0" fontId="66" fillId="33" borderId="10" xfId="0" applyFont="1" applyFill="1" applyBorder="1" applyAlignment="1">
      <alignment/>
    </xf>
    <xf numFmtId="2" fontId="60" fillId="33" borderId="10" xfId="0" applyNumberFormat="1" applyFont="1" applyFill="1" applyBorder="1" applyAlignment="1">
      <alignment horizontal="right" vertical="center" wrapText="1"/>
    </xf>
    <xf numFmtId="0" fontId="60" fillId="34" borderId="15" xfId="0" applyFont="1" applyFill="1" applyBorder="1" applyAlignment="1">
      <alignment vertical="center" wrapText="1"/>
    </xf>
    <xf numFmtId="164" fontId="66" fillId="33" borderId="17" xfId="0" applyNumberFormat="1" applyFont="1" applyFill="1" applyBorder="1" applyAlignment="1">
      <alignment vertical="center" wrapText="1"/>
    </xf>
    <xf numFmtId="164" fontId="60" fillId="33" borderId="10" xfId="0" applyNumberFormat="1" applyFont="1" applyFill="1" applyBorder="1" applyAlignment="1">
      <alignment vertical="center" wrapText="1"/>
    </xf>
    <xf numFmtId="0" fontId="66" fillId="33" borderId="18" xfId="0" applyFont="1" applyFill="1" applyBorder="1" applyAlignment="1">
      <alignment vertical="center" wrapText="1"/>
    </xf>
    <xf numFmtId="4" fontId="66" fillId="33" borderId="11" xfId="0" applyNumberFormat="1" applyFont="1" applyFill="1" applyBorder="1" applyAlignment="1">
      <alignment vertical="center" wrapText="1"/>
    </xf>
    <xf numFmtId="164" fontId="66" fillId="33" borderId="18" xfId="0" applyNumberFormat="1" applyFont="1" applyFill="1" applyBorder="1" applyAlignment="1">
      <alignment vertical="center" wrapText="1"/>
    </xf>
    <xf numFmtId="164" fontId="66" fillId="33" borderId="16" xfId="0" applyNumberFormat="1" applyFont="1" applyFill="1" applyBorder="1" applyAlignment="1">
      <alignment vertical="center" wrapText="1"/>
    </xf>
    <xf numFmtId="0" fontId="67" fillId="33" borderId="16" xfId="0" applyFont="1" applyFill="1" applyBorder="1" applyAlignment="1">
      <alignment vertical="center" wrapText="1"/>
    </xf>
    <xf numFmtId="166" fontId="66" fillId="33" borderId="11" xfId="0" applyNumberFormat="1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165" fontId="66" fillId="33" borderId="11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 applyProtection="1">
      <alignment vertical="center" wrapText="1"/>
      <protection/>
    </xf>
    <xf numFmtId="0" fontId="68" fillId="0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4" fontId="59" fillId="33" borderId="11" xfId="0" applyNumberFormat="1" applyFont="1" applyFill="1" applyBorder="1" applyAlignment="1">
      <alignment vertical="center" wrapText="1"/>
    </xf>
    <xf numFmtId="164" fontId="59" fillId="33" borderId="11" xfId="0" applyNumberFormat="1" applyFont="1" applyFill="1" applyBorder="1" applyAlignment="1">
      <alignment vertical="center" wrapText="1"/>
    </xf>
    <xf numFmtId="1" fontId="59" fillId="33" borderId="11" xfId="0" applyNumberFormat="1" applyFont="1" applyFill="1" applyBorder="1" applyAlignment="1">
      <alignment vertical="center" wrapText="1"/>
    </xf>
    <xf numFmtId="3" fontId="59" fillId="33" borderId="12" xfId="0" applyNumberFormat="1" applyFont="1" applyFill="1" applyBorder="1" applyAlignment="1">
      <alignment vertical="center" wrapText="1"/>
    </xf>
    <xf numFmtId="166" fontId="59" fillId="33" borderId="11" xfId="0" applyNumberFormat="1" applyFont="1" applyFill="1" applyBorder="1" applyAlignment="1">
      <alignment vertical="center" wrapText="1"/>
    </xf>
    <xf numFmtId="170" fontId="59" fillId="33" borderId="0" xfId="0" applyNumberFormat="1" applyFont="1" applyFill="1" applyBorder="1" applyAlignment="1">
      <alignment horizontal="center" vertical="center" wrapText="1"/>
    </xf>
    <xf numFmtId="170" fontId="59" fillId="33" borderId="0" xfId="0" applyNumberFormat="1" applyFont="1" applyFill="1" applyBorder="1" applyAlignment="1">
      <alignment vertical="center" wrapText="1"/>
    </xf>
    <xf numFmtId="171" fontId="59" fillId="33" borderId="0" xfId="0" applyNumberFormat="1" applyFont="1" applyFill="1" applyAlignment="1">
      <alignment vertical="center" wrapText="1"/>
    </xf>
    <xf numFmtId="0" fontId="59" fillId="33" borderId="0" xfId="0" applyFont="1" applyFill="1" applyAlignment="1">
      <alignment vertical="center" wrapText="1"/>
    </xf>
    <xf numFmtId="164" fontId="59" fillId="33" borderId="0" xfId="0" applyNumberFormat="1" applyFont="1" applyFill="1" applyAlignment="1">
      <alignment vertical="center" wrapText="1"/>
    </xf>
    <xf numFmtId="0" fontId="59" fillId="33" borderId="10" xfId="0" applyFont="1" applyFill="1" applyBorder="1" applyAlignment="1">
      <alignment/>
    </xf>
    <xf numFmtId="170" fontId="60" fillId="33" borderId="0" xfId="0" applyNumberFormat="1" applyFont="1" applyFill="1" applyBorder="1" applyAlignment="1">
      <alignment vertical="center" wrapText="1"/>
    </xf>
    <xf numFmtId="0" fontId="60" fillId="33" borderId="0" xfId="0" applyFont="1" applyFill="1" applyAlignment="1">
      <alignment vertical="top"/>
    </xf>
    <xf numFmtId="0" fontId="60" fillId="33" borderId="10" xfId="0" applyFont="1" applyFill="1" applyBorder="1" applyAlignment="1">
      <alignment vertical="top"/>
    </xf>
    <xf numFmtId="0" fontId="60" fillId="33" borderId="20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164" fontId="67" fillId="33" borderId="17" xfId="0" applyNumberFormat="1" applyFont="1" applyFill="1" applyBorder="1" applyAlignment="1">
      <alignment horizontal="center" vertical="center" wrapText="1"/>
    </xf>
    <xf numFmtId="164" fontId="66" fillId="33" borderId="11" xfId="0" applyNumberFormat="1" applyFont="1" applyFill="1" applyBorder="1" applyAlignment="1">
      <alignment vertical="center" wrapText="1"/>
    </xf>
    <xf numFmtId="3" fontId="66" fillId="33" borderId="17" xfId="0" applyNumberFormat="1" applyFont="1" applyFill="1" applyBorder="1" applyAlignment="1">
      <alignment vertical="center" wrapText="1"/>
    </xf>
    <xf numFmtId="170" fontId="66" fillId="33" borderId="0" xfId="0" applyNumberFormat="1" applyFont="1" applyFill="1" applyBorder="1" applyAlignment="1">
      <alignment vertical="center" wrapText="1"/>
    </xf>
    <xf numFmtId="0" fontId="60" fillId="33" borderId="15" xfId="0" applyFont="1" applyFill="1" applyBorder="1" applyAlignment="1">
      <alignment horizontal="center" vertical="center" wrapText="1"/>
    </xf>
    <xf numFmtId="164" fontId="66" fillId="33" borderId="0" xfId="0" applyNumberFormat="1" applyFont="1" applyFill="1" applyBorder="1" applyAlignment="1">
      <alignment vertical="center" wrapText="1"/>
    </xf>
    <xf numFmtId="171" fontId="66" fillId="33" borderId="0" xfId="0" applyNumberFormat="1" applyFont="1" applyFill="1" applyBorder="1" applyAlignment="1">
      <alignment vertical="center" wrapText="1"/>
    </xf>
    <xf numFmtId="164" fontId="67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/>
    </xf>
    <xf numFmtId="3" fontId="60" fillId="33" borderId="10" xfId="0" applyNumberFormat="1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  <xf numFmtId="171" fontId="60" fillId="33" borderId="0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0" fillId="33" borderId="2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60" fillId="33" borderId="22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164" fontId="59" fillId="33" borderId="17" xfId="0" applyNumberFormat="1" applyFont="1" applyFill="1" applyBorder="1" applyAlignment="1">
      <alignment horizontal="center" vertical="center" wrapText="1"/>
    </xf>
    <xf numFmtId="3" fontId="60" fillId="33" borderId="17" xfId="0" applyNumberFormat="1" applyFont="1" applyFill="1" applyBorder="1" applyAlignment="1">
      <alignment vertical="center" wrapText="1"/>
    </xf>
    <xf numFmtId="0" fontId="66" fillId="33" borderId="15" xfId="0" applyFont="1" applyFill="1" applyBorder="1" applyAlignment="1">
      <alignment/>
    </xf>
    <xf numFmtId="164" fontId="59" fillId="33" borderId="10" xfId="0" applyNumberFormat="1" applyFont="1" applyFill="1" applyBorder="1" applyAlignment="1">
      <alignment vertical="center" wrapText="1"/>
    </xf>
    <xf numFmtId="0" fontId="68" fillId="0" borderId="15" xfId="0" applyFont="1" applyFill="1" applyBorder="1" applyAlignment="1" applyProtection="1">
      <alignment vertical="center" wrapText="1"/>
      <protection/>
    </xf>
    <xf numFmtId="0" fontId="60" fillId="33" borderId="17" xfId="0" applyFont="1" applyFill="1" applyBorder="1" applyAlignment="1">
      <alignment horizontal="center" vertical="center" wrapText="1"/>
    </xf>
    <xf numFmtId="4" fontId="60" fillId="33" borderId="17" xfId="0" applyNumberFormat="1" applyFont="1" applyFill="1" applyBorder="1" applyAlignment="1">
      <alignment horizontal="center" vertical="center" wrapText="1"/>
    </xf>
    <xf numFmtId="3" fontId="60" fillId="33" borderId="17" xfId="0" applyNumberFormat="1" applyFont="1" applyFill="1" applyBorder="1" applyAlignment="1">
      <alignment horizontal="center" vertical="center" wrapText="1"/>
    </xf>
    <xf numFmtId="165" fontId="60" fillId="33" borderId="17" xfId="0" applyNumberFormat="1" applyFont="1" applyFill="1" applyBorder="1" applyAlignment="1">
      <alignment horizontal="center" vertical="center" wrapText="1"/>
    </xf>
    <xf numFmtId="167" fontId="60" fillId="33" borderId="10" xfId="0" applyNumberFormat="1" applyFont="1" applyFill="1" applyBorder="1" applyAlignment="1">
      <alignment vertical="center" wrapText="1"/>
    </xf>
    <xf numFmtId="0" fontId="64" fillId="0" borderId="10" xfId="0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164" fontId="65" fillId="33" borderId="0" xfId="0" applyNumberFormat="1" applyFont="1" applyFill="1" applyBorder="1" applyAlignment="1">
      <alignment vertical="center" wrapText="1"/>
    </xf>
    <xf numFmtId="0" fontId="64" fillId="0" borderId="0" xfId="0" applyFont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164" fontId="65" fillId="33" borderId="17" xfId="0" applyNumberFormat="1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center" wrapText="1"/>
    </xf>
    <xf numFmtId="0" fontId="59" fillId="33" borderId="22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165" fontId="59" fillId="33" borderId="11" xfId="0" applyNumberFormat="1" applyFont="1" applyFill="1" applyBorder="1" applyAlignment="1">
      <alignment vertical="center" wrapText="1"/>
    </xf>
    <xf numFmtId="167" fontId="59" fillId="33" borderId="11" xfId="0" applyNumberFormat="1" applyFont="1" applyFill="1" applyBorder="1" applyAlignment="1">
      <alignment vertical="center" wrapText="1"/>
    </xf>
    <xf numFmtId="3" fontId="59" fillId="33" borderId="11" xfId="0" applyNumberFormat="1" applyFont="1" applyFill="1" applyBorder="1" applyAlignment="1">
      <alignment vertical="center" wrapText="1"/>
    </xf>
    <xf numFmtId="171" fontId="69" fillId="33" borderId="0" xfId="0" applyNumberFormat="1" applyFont="1" applyFill="1" applyAlignment="1">
      <alignment vertical="center" wrapText="1"/>
    </xf>
    <xf numFmtId="164" fontId="70" fillId="33" borderId="0" xfId="0" applyNumberFormat="1" applyFont="1" applyFill="1" applyAlignment="1">
      <alignment vertical="center" wrapText="1"/>
    </xf>
    <xf numFmtId="0" fontId="69" fillId="33" borderId="0" xfId="0" applyFont="1" applyFill="1" applyAlignment="1">
      <alignment vertical="center" wrapText="1"/>
    </xf>
    <xf numFmtId="170" fontId="69" fillId="33" borderId="0" xfId="0" applyNumberFormat="1" applyFont="1" applyFill="1" applyAlignment="1">
      <alignment vertical="center" wrapText="1"/>
    </xf>
    <xf numFmtId="165" fontId="67" fillId="33" borderId="0" xfId="0" applyNumberFormat="1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/>
    </xf>
    <xf numFmtId="164" fontId="60" fillId="33" borderId="11" xfId="0" applyNumberFormat="1" applyFont="1" applyFill="1" applyBorder="1" applyAlignment="1">
      <alignment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164" fontId="60" fillId="33" borderId="16" xfId="0" applyNumberFormat="1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3" fontId="59" fillId="33" borderId="10" xfId="0" applyNumberFormat="1" applyFont="1" applyFill="1" applyBorder="1" applyAlignment="1">
      <alignment vertical="center" wrapText="1"/>
    </xf>
    <xf numFmtId="0" fontId="68" fillId="0" borderId="17" xfId="0" applyFont="1" applyFill="1" applyBorder="1" applyAlignment="1" applyProtection="1">
      <alignment horizontal="left" vertical="center" wrapText="1"/>
      <protection/>
    </xf>
    <xf numFmtId="4" fontId="60" fillId="33" borderId="10" xfId="0" applyNumberFormat="1" applyFont="1" applyFill="1" applyBorder="1" applyAlignment="1">
      <alignment horizontal="right" vertical="center" wrapText="1"/>
    </xf>
    <xf numFmtId="0" fontId="60" fillId="33" borderId="13" xfId="0" applyFont="1" applyFill="1" applyBorder="1" applyAlignment="1">
      <alignment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4" fontId="59" fillId="33" borderId="10" xfId="0" applyNumberFormat="1" applyFont="1" applyFill="1" applyBorder="1" applyAlignment="1">
      <alignment vertical="center" wrapText="1"/>
    </xf>
    <xf numFmtId="165" fontId="59" fillId="33" borderId="10" xfId="0" applyNumberFormat="1" applyFont="1" applyFill="1" applyBorder="1" applyAlignment="1">
      <alignment vertical="center" wrapText="1"/>
    </xf>
    <xf numFmtId="166" fontId="59" fillId="33" borderId="10" xfId="0" applyNumberFormat="1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165" fontId="59" fillId="33" borderId="0" xfId="0" applyNumberFormat="1" applyFont="1" applyFill="1" applyBorder="1" applyAlignment="1">
      <alignment horizontal="center" vertical="center" wrapText="1"/>
    </xf>
    <xf numFmtId="167" fontId="60" fillId="33" borderId="11" xfId="61" applyNumberFormat="1" applyFont="1" applyFill="1" applyBorder="1" applyAlignment="1">
      <alignment horizontal="left" vertical="center" wrapText="1"/>
      <protection/>
    </xf>
    <xf numFmtId="1" fontId="60" fillId="33" borderId="17" xfId="0" applyNumberFormat="1" applyFont="1" applyFill="1" applyBorder="1" applyAlignment="1">
      <alignment vertical="center" wrapText="1"/>
    </xf>
    <xf numFmtId="165" fontId="59" fillId="33" borderId="0" xfId="0" applyNumberFormat="1" applyFont="1" applyFill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4" fontId="59" fillId="33" borderId="0" xfId="0" applyNumberFormat="1" applyFont="1" applyFill="1" applyBorder="1" applyAlignment="1">
      <alignment horizontal="center" vertical="center" wrapText="1"/>
    </xf>
    <xf numFmtId="165" fontId="59" fillId="33" borderId="0" xfId="0" applyNumberFormat="1" applyFont="1" applyFill="1" applyAlignment="1">
      <alignment vertical="center" wrapText="1"/>
    </xf>
    <xf numFmtId="0" fontId="59" fillId="33" borderId="17" xfId="0" applyFont="1" applyFill="1" applyBorder="1" applyAlignment="1">
      <alignment horizontal="center" vertical="center" wrapText="1"/>
    </xf>
    <xf numFmtId="167" fontId="59" fillId="33" borderId="10" xfId="0" applyNumberFormat="1" applyFont="1" applyFill="1" applyBorder="1" applyAlignment="1">
      <alignment vertical="center" wrapText="1"/>
    </xf>
    <xf numFmtId="4" fontId="59" fillId="33" borderId="0" xfId="0" applyNumberFormat="1" applyFont="1" applyFill="1" applyBorder="1" applyAlignment="1">
      <alignment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vertical="center" wrapText="1"/>
    </xf>
    <xf numFmtId="0" fontId="59" fillId="34" borderId="17" xfId="0" applyFont="1" applyFill="1" applyBorder="1" applyAlignment="1">
      <alignment horizontal="center" vertical="center" wrapText="1"/>
    </xf>
    <xf numFmtId="165" fontId="59" fillId="34" borderId="10" xfId="0" applyNumberFormat="1" applyFont="1" applyFill="1" applyBorder="1" applyAlignment="1">
      <alignment vertical="center" wrapText="1"/>
    </xf>
    <xf numFmtId="3" fontId="59" fillId="34" borderId="10" xfId="0" applyNumberFormat="1" applyFont="1" applyFill="1" applyBorder="1" applyAlignment="1">
      <alignment vertical="center" wrapText="1"/>
    </xf>
    <xf numFmtId="0" fontId="59" fillId="34" borderId="12" xfId="0" applyFont="1" applyFill="1" applyBorder="1" applyAlignment="1">
      <alignment horizontal="center" vertical="center" wrapText="1"/>
    </xf>
    <xf numFmtId="167" fontId="59" fillId="34" borderId="10" xfId="0" applyNumberFormat="1" applyFont="1" applyFill="1" applyBorder="1" applyAlignment="1">
      <alignment vertical="center" wrapText="1"/>
    </xf>
    <xf numFmtId="0" fontId="59" fillId="34" borderId="0" xfId="0" applyFont="1" applyFill="1" applyAlignment="1">
      <alignment horizontal="left"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horizontal="center"/>
    </xf>
    <xf numFmtId="4" fontId="59" fillId="34" borderId="0" xfId="0" applyNumberFormat="1" applyFont="1" applyFill="1" applyAlignment="1">
      <alignment/>
    </xf>
    <xf numFmtId="2" fontId="59" fillId="34" borderId="0" xfId="0" applyNumberFormat="1" applyFont="1" applyFill="1" applyAlignment="1">
      <alignment/>
    </xf>
    <xf numFmtId="164" fontId="59" fillId="33" borderId="0" xfId="0" applyNumberFormat="1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horizontal="left"/>
    </xf>
    <xf numFmtId="4" fontId="59" fillId="33" borderId="0" xfId="0" applyNumberFormat="1" applyFont="1" applyFill="1" applyAlignment="1">
      <alignment/>
    </xf>
    <xf numFmtId="2" fontId="59" fillId="33" borderId="0" xfId="0" applyNumberFormat="1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4" fontId="65" fillId="33" borderId="10" xfId="0" applyNumberFormat="1" applyFont="1" applyFill="1" applyBorder="1" applyAlignment="1">
      <alignment vertical="center" wrapText="1"/>
    </xf>
    <xf numFmtId="164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166" fontId="65" fillId="33" borderId="10" xfId="0" applyNumberFormat="1" applyFont="1" applyFill="1" applyBorder="1" applyAlignment="1">
      <alignment vertical="center" wrapText="1"/>
    </xf>
    <xf numFmtId="3" fontId="65" fillId="33" borderId="10" xfId="0" applyNumberFormat="1" applyFont="1" applyFill="1" applyBorder="1" applyAlignment="1">
      <alignment vertical="center" wrapText="1"/>
    </xf>
    <xf numFmtId="165" fontId="65" fillId="33" borderId="10" xfId="0" applyNumberFormat="1" applyFont="1" applyFill="1" applyBorder="1" applyAlignment="1">
      <alignment vertical="center" wrapText="1"/>
    </xf>
    <xf numFmtId="165" fontId="65" fillId="33" borderId="0" xfId="0" applyNumberFormat="1" applyFont="1" applyFill="1" applyBorder="1" applyAlignment="1">
      <alignment vertical="center" wrapText="1"/>
    </xf>
    <xf numFmtId="164" fontId="65" fillId="33" borderId="0" xfId="0" applyNumberFormat="1" applyFont="1" applyFill="1" applyAlignment="1">
      <alignment vertical="center" wrapText="1"/>
    </xf>
    <xf numFmtId="171" fontId="65" fillId="33" borderId="0" xfId="0" applyNumberFormat="1" applyFont="1" applyFill="1" applyAlignment="1">
      <alignment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/>
    </xf>
    <xf numFmtId="0" fontId="72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left" vertical="center" wrapText="1"/>
    </xf>
    <xf numFmtId="4" fontId="72" fillId="33" borderId="0" xfId="0" applyNumberFormat="1" applyFont="1" applyFill="1" applyBorder="1" applyAlignment="1">
      <alignment vertical="center" wrapText="1"/>
    </xf>
    <xf numFmtId="164" fontId="72" fillId="33" borderId="0" xfId="0" applyNumberFormat="1" applyFont="1" applyFill="1" applyBorder="1" applyAlignment="1">
      <alignment horizontal="center" vertical="center" wrapText="1"/>
    </xf>
    <xf numFmtId="164" fontId="72" fillId="33" borderId="0" xfId="0" applyNumberFormat="1" applyFont="1" applyFill="1" applyBorder="1" applyAlignment="1">
      <alignment vertical="center" wrapText="1"/>
    </xf>
    <xf numFmtId="166" fontId="72" fillId="33" borderId="0" xfId="0" applyNumberFormat="1" applyFont="1" applyFill="1" applyBorder="1" applyAlignment="1">
      <alignment vertical="center" wrapText="1"/>
    </xf>
    <xf numFmtId="3" fontId="72" fillId="33" borderId="0" xfId="0" applyNumberFormat="1" applyFont="1" applyFill="1" applyBorder="1" applyAlignment="1">
      <alignment vertical="center" wrapText="1"/>
    </xf>
    <xf numFmtId="165" fontId="72" fillId="33" borderId="0" xfId="0" applyNumberFormat="1" applyFont="1" applyFill="1" applyBorder="1" applyAlignment="1">
      <alignment vertical="center" wrapText="1"/>
    </xf>
    <xf numFmtId="171" fontId="72" fillId="33" borderId="0" xfId="0" applyNumberFormat="1" applyFont="1" applyFill="1" applyBorder="1" applyAlignment="1">
      <alignment vertical="center" wrapText="1"/>
    </xf>
    <xf numFmtId="0" fontId="72" fillId="33" borderId="0" xfId="0" applyFont="1" applyFill="1" applyBorder="1" applyAlignment="1">
      <alignment/>
    </xf>
    <xf numFmtId="170" fontId="65" fillId="33" borderId="0" xfId="0" applyNumberFormat="1" applyFont="1" applyFill="1" applyBorder="1" applyAlignment="1">
      <alignment vertical="center" wrapText="1"/>
    </xf>
    <xf numFmtId="170" fontId="72" fillId="33" borderId="0" xfId="0" applyNumberFormat="1" applyFont="1" applyFill="1" applyBorder="1" applyAlignment="1">
      <alignment vertical="center" wrapText="1"/>
    </xf>
    <xf numFmtId="164" fontId="72" fillId="33" borderId="0" xfId="0" applyNumberFormat="1" applyFont="1" applyFill="1" applyAlignment="1">
      <alignment vertical="center" wrapText="1"/>
    </xf>
    <xf numFmtId="171" fontId="72" fillId="33" borderId="0" xfId="0" applyNumberFormat="1" applyFont="1" applyFill="1" applyAlignment="1">
      <alignment vertical="center" wrapText="1"/>
    </xf>
    <xf numFmtId="0" fontId="72" fillId="33" borderId="0" xfId="0" applyFont="1" applyFill="1" applyAlignment="1">
      <alignment vertical="center" wrapText="1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horizontal="left" vertical="center"/>
    </xf>
    <xf numFmtId="4" fontId="73" fillId="33" borderId="0" xfId="0" applyNumberFormat="1" applyFont="1" applyFill="1" applyAlignment="1">
      <alignment vertical="center"/>
    </xf>
    <xf numFmtId="164" fontId="73" fillId="33" borderId="0" xfId="0" applyNumberFormat="1" applyFont="1" applyFill="1" applyAlignment="1">
      <alignment vertical="center"/>
    </xf>
    <xf numFmtId="171" fontId="73" fillId="33" borderId="0" xfId="0" applyNumberFormat="1" applyFont="1" applyFill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164" fontId="64" fillId="33" borderId="0" xfId="0" applyNumberFormat="1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 wrapText="1"/>
    </xf>
    <xf numFmtId="4" fontId="64" fillId="33" borderId="10" xfId="0" applyNumberFormat="1" applyFont="1" applyFill="1" applyBorder="1" applyAlignment="1">
      <alignment horizontal="center" vertical="center" wrapText="1"/>
    </xf>
    <xf numFmtId="164" fontId="61" fillId="33" borderId="10" xfId="0" applyNumberFormat="1" applyFont="1" applyFill="1" applyBorder="1" applyAlignment="1">
      <alignment horizontal="center" vertical="center" wrapText="1"/>
    </xf>
    <xf numFmtId="0" fontId="64" fillId="33" borderId="10" xfId="62" applyFont="1" applyFill="1" applyBorder="1" applyAlignment="1">
      <alignment horizontal="center" vertical="center" wrapText="1"/>
      <protection/>
    </xf>
    <xf numFmtId="4" fontId="64" fillId="33" borderId="10" xfId="0" applyNumberFormat="1" applyFont="1" applyFill="1" applyBorder="1" applyAlignment="1">
      <alignment horizontal="center" vertical="center"/>
    </xf>
    <xf numFmtId="165" fontId="64" fillId="33" borderId="10" xfId="0" applyNumberFormat="1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/>
    </xf>
    <xf numFmtId="164" fontId="64" fillId="33" borderId="10" xfId="62" applyNumberFormat="1" applyFont="1" applyFill="1" applyBorder="1" applyAlignment="1">
      <alignment horizontal="center" vertical="center"/>
      <protection/>
    </xf>
    <xf numFmtId="164" fontId="61" fillId="33" borderId="10" xfId="62" applyNumberFormat="1" applyFont="1" applyFill="1" applyBorder="1" applyAlignment="1">
      <alignment horizontal="center" vertical="center"/>
      <protection/>
    </xf>
    <xf numFmtId="0" fontId="64" fillId="33" borderId="10" xfId="62" applyFont="1" applyFill="1" applyBorder="1" applyAlignment="1">
      <alignment horizontal="center" vertical="center"/>
      <protection/>
    </xf>
    <xf numFmtId="164" fontId="64" fillId="33" borderId="0" xfId="33" applyNumberFormat="1" applyFont="1" applyFill="1" applyBorder="1" applyAlignment="1">
      <alignment horizontal="center" vertical="center"/>
      <protection/>
    </xf>
    <xf numFmtId="164" fontId="74" fillId="33" borderId="0" xfId="0" applyNumberFormat="1" applyFont="1" applyFill="1" applyBorder="1" applyAlignment="1">
      <alignment horizontal="center" vertical="center"/>
    </xf>
    <xf numFmtId="164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left" vertical="center" wrapText="1"/>
    </xf>
    <xf numFmtId="164" fontId="64" fillId="33" borderId="10" xfId="0" applyNumberFormat="1" applyFont="1" applyFill="1" applyBorder="1" applyAlignment="1">
      <alignment horizontal="left" vertical="center"/>
    </xf>
    <xf numFmtId="0" fontId="64" fillId="33" borderId="10" xfId="33" applyFont="1" applyFill="1" applyBorder="1" applyAlignment="1">
      <alignment horizontal="center" vertical="center"/>
      <protection/>
    </xf>
    <xf numFmtId="4" fontId="64" fillId="33" borderId="10" xfId="33" applyNumberFormat="1" applyFont="1" applyFill="1" applyBorder="1" applyAlignment="1">
      <alignment horizontal="center" vertical="center"/>
      <protection/>
    </xf>
    <xf numFmtId="165" fontId="64" fillId="33" borderId="10" xfId="33" applyNumberFormat="1" applyFont="1" applyFill="1" applyBorder="1" applyAlignment="1">
      <alignment horizontal="center" vertical="center"/>
      <protection/>
    </xf>
    <xf numFmtId="164" fontId="64" fillId="33" borderId="10" xfId="33" applyNumberFormat="1" applyFont="1" applyFill="1" applyBorder="1" applyAlignment="1">
      <alignment horizontal="center" vertical="center"/>
      <protection/>
    </xf>
    <xf numFmtId="165" fontId="61" fillId="33" borderId="10" xfId="33" applyNumberFormat="1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 horizontal="left"/>
    </xf>
    <xf numFmtId="164" fontId="60" fillId="33" borderId="0" xfId="0" applyNumberFormat="1" applyFont="1" applyFill="1" applyAlignment="1">
      <alignment horizontal="left"/>
    </xf>
    <xf numFmtId="164" fontId="60" fillId="33" borderId="0" xfId="0" applyNumberFormat="1" applyFont="1" applyFill="1" applyAlignment="1">
      <alignment horizontal="center"/>
    </xf>
    <xf numFmtId="4" fontId="60" fillId="33" borderId="0" xfId="0" applyNumberFormat="1" applyFont="1" applyFill="1" applyAlignment="1">
      <alignment horizontal="center" vertical="center"/>
    </xf>
    <xf numFmtId="165" fontId="60" fillId="33" borderId="0" xfId="0" applyNumberFormat="1" applyFont="1" applyFill="1" applyAlignment="1">
      <alignment horizontal="center"/>
    </xf>
    <xf numFmtId="2" fontId="60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165" fontId="60" fillId="33" borderId="0" xfId="0" applyNumberFormat="1" applyFont="1" applyFill="1" applyAlignment="1">
      <alignment horizontal="left"/>
    </xf>
    <xf numFmtId="165" fontId="60" fillId="33" borderId="0" xfId="0" applyNumberFormat="1" applyFont="1" applyFill="1" applyAlignment="1">
      <alignment/>
    </xf>
    <xf numFmtId="4" fontId="60" fillId="33" borderId="0" xfId="0" applyNumberFormat="1" applyFont="1" applyFill="1" applyAlignment="1">
      <alignment horizontal="center"/>
    </xf>
    <xf numFmtId="4" fontId="59" fillId="33" borderId="0" xfId="0" applyNumberFormat="1" applyFont="1" applyFill="1" applyAlignment="1">
      <alignment horizontal="center"/>
    </xf>
    <xf numFmtId="164" fontId="59" fillId="33" borderId="0" xfId="0" applyNumberFormat="1" applyFont="1" applyFill="1" applyAlignment="1">
      <alignment horizontal="left"/>
    </xf>
    <xf numFmtId="168" fontId="60" fillId="33" borderId="0" xfId="0" applyNumberFormat="1" applyFont="1" applyFill="1" applyAlignment="1">
      <alignment horizontal="center" vertical="center"/>
    </xf>
    <xf numFmtId="2" fontId="60" fillId="33" borderId="0" xfId="0" applyNumberFormat="1" applyFont="1" applyFill="1" applyAlignment="1">
      <alignment/>
    </xf>
    <xf numFmtId="4" fontId="60" fillId="33" borderId="0" xfId="0" applyNumberFormat="1" applyFont="1" applyFill="1" applyBorder="1" applyAlignment="1">
      <alignment horizontal="center"/>
    </xf>
    <xf numFmtId="165" fontId="60" fillId="33" borderId="0" xfId="0" applyNumberFormat="1" applyFont="1" applyFill="1" applyBorder="1" applyAlignment="1">
      <alignment horizontal="center" vertical="center"/>
    </xf>
    <xf numFmtId="165" fontId="60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 horizontal="left"/>
    </xf>
    <xf numFmtId="165" fontId="59" fillId="33" borderId="0" xfId="0" applyNumberFormat="1" applyFont="1" applyFill="1" applyBorder="1" applyAlignment="1">
      <alignment horizontal="left"/>
    </xf>
    <xf numFmtId="165" fontId="60" fillId="33" borderId="0" xfId="0" applyNumberFormat="1" applyFont="1" applyFill="1" applyAlignment="1">
      <alignment horizontal="center" vertical="center"/>
    </xf>
    <xf numFmtId="164" fontId="60" fillId="33" borderId="0" xfId="0" applyNumberFormat="1" applyFont="1" applyFill="1" applyBorder="1" applyAlignment="1">
      <alignment horizontal="center" vertical="center"/>
    </xf>
    <xf numFmtId="165" fontId="60" fillId="33" borderId="0" xfId="0" applyNumberFormat="1" applyFont="1" applyFill="1" applyBorder="1" applyAlignment="1">
      <alignment horizontal="center"/>
    </xf>
    <xf numFmtId="2" fontId="60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 vertical="center"/>
    </xf>
    <xf numFmtId="164" fontId="60" fillId="33" borderId="0" xfId="0" applyNumberFormat="1" applyFont="1" applyFill="1" applyAlignment="1">
      <alignment horizontal="center" vertical="center"/>
    </xf>
    <xf numFmtId="4" fontId="60" fillId="33" borderId="0" xfId="0" applyNumberFormat="1" applyFont="1" applyFill="1" applyBorder="1" applyAlignment="1">
      <alignment horizontal="center" vertical="center"/>
    </xf>
    <xf numFmtId="164" fontId="60" fillId="33" borderId="0" xfId="0" applyNumberFormat="1" applyFont="1" applyFill="1" applyAlignment="1">
      <alignment/>
    </xf>
    <xf numFmtId="2" fontId="59" fillId="33" borderId="0" xfId="0" applyNumberFormat="1" applyFont="1" applyFill="1" applyAlignment="1">
      <alignment horizontal="center" vertical="center"/>
    </xf>
    <xf numFmtId="3" fontId="59" fillId="33" borderId="0" xfId="0" applyNumberFormat="1" applyFont="1" applyFill="1" applyBorder="1" applyAlignment="1">
      <alignment/>
    </xf>
    <xf numFmtId="165" fontId="59" fillId="33" borderId="0" xfId="0" applyNumberFormat="1" applyFont="1" applyFill="1" applyAlignment="1">
      <alignment horizontal="left"/>
    </xf>
    <xf numFmtId="165" fontId="59" fillId="33" borderId="0" xfId="0" applyNumberFormat="1" applyFont="1" applyFill="1" applyAlignment="1">
      <alignment/>
    </xf>
    <xf numFmtId="4" fontId="59" fillId="33" borderId="0" xfId="0" applyNumberFormat="1" applyFont="1" applyFill="1" applyAlignment="1">
      <alignment horizontal="center" vertical="center"/>
    </xf>
    <xf numFmtId="164" fontId="59" fillId="33" borderId="0" xfId="0" applyNumberFormat="1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vertical="center"/>
    </xf>
    <xf numFmtId="165" fontId="59" fillId="33" borderId="0" xfId="0" applyNumberFormat="1" applyFont="1" applyFill="1" applyAlignment="1">
      <alignment horizontal="center"/>
    </xf>
    <xf numFmtId="3" fontId="59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left"/>
    </xf>
    <xf numFmtId="164" fontId="67" fillId="33" borderId="0" xfId="0" applyNumberFormat="1" applyFont="1" applyFill="1" applyAlignment="1">
      <alignment horizontal="left"/>
    </xf>
    <xf numFmtId="164" fontId="67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 horizontal="center" vertical="center"/>
    </xf>
    <xf numFmtId="0" fontId="67" fillId="33" borderId="0" xfId="0" applyFont="1" applyFill="1" applyAlignment="1">
      <alignment horizontal="center"/>
    </xf>
    <xf numFmtId="2" fontId="67" fillId="33" borderId="0" xfId="0" applyNumberFormat="1" applyFont="1" applyFill="1" applyAlignment="1">
      <alignment horizontal="center" vertical="center"/>
    </xf>
    <xf numFmtId="165" fontId="67" fillId="33" borderId="0" xfId="0" applyNumberFormat="1" applyFont="1" applyFill="1" applyAlignment="1">
      <alignment horizontal="center" vertical="center"/>
    </xf>
    <xf numFmtId="169" fontId="67" fillId="33" borderId="0" xfId="0" applyNumberFormat="1" applyFont="1" applyFill="1" applyAlignment="1">
      <alignment horizontal="center" vertical="center"/>
    </xf>
    <xf numFmtId="165" fontId="67" fillId="33" borderId="0" xfId="0" applyNumberFormat="1" applyFont="1" applyFill="1" applyAlignment="1">
      <alignment/>
    </xf>
    <xf numFmtId="3" fontId="67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 horizontal="center"/>
    </xf>
    <xf numFmtId="2" fontId="67" fillId="33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4" fontId="59" fillId="33" borderId="0" xfId="0" applyNumberFormat="1" applyFont="1" applyFill="1" applyBorder="1" applyAlignment="1">
      <alignment horizontal="center" vertical="center"/>
    </xf>
    <xf numFmtId="1" fontId="59" fillId="33" borderId="0" xfId="0" applyNumberFormat="1" applyFont="1" applyFill="1" applyBorder="1" applyAlignment="1">
      <alignment/>
    </xf>
    <xf numFmtId="1" fontId="59" fillId="33" borderId="0" xfId="0" applyNumberFormat="1" applyFont="1" applyFill="1" applyBorder="1" applyAlignment="1">
      <alignment horizontal="center" vertical="center"/>
    </xf>
    <xf numFmtId="1" fontId="59" fillId="33" borderId="0" xfId="0" applyNumberFormat="1" applyFont="1" applyFill="1" applyBorder="1" applyAlignment="1">
      <alignment horizontal="center"/>
    </xf>
    <xf numFmtId="0" fontId="60" fillId="33" borderId="0" xfId="39" applyFont="1" applyFill="1" applyAlignment="1">
      <alignment horizontal="center"/>
      <protection/>
    </xf>
    <xf numFmtId="164" fontId="59" fillId="33" borderId="0" xfId="0" applyNumberFormat="1" applyFont="1" applyFill="1" applyBorder="1" applyAlignment="1">
      <alignment/>
    </xf>
    <xf numFmtId="164" fontId="59" fillId="33" borderId="0" xfId="0" applyNumberFormat="1" applyFont="1" applyFill="1" applyBorder="1" applyAlignment="1">
      <alignment horizontal="center" vertical="center"/>
    </xf>
    <xf numFmtId="168" fontId="59" fillId="33" borderId="0" xfId="0" applyNumberFormat="1" applyFont="1" applyFill="1" applyBorder="1" applyAlignment="1">
      <alignment horizontal="center" vertical="center"/>
    </xf>
    <xf numFmtId="164" fontId="60" fillId="33" borderId="0" xfId="39" applyNumberFormat="1" applyFont="1" applyFill="1" applyAlignment="1">
      <alignment horizontal="center"/>
      <protection/>
    </xf>
    <xf numFmtId="165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 horizontal="left"/>
    </xf>
    <xf numFmtId="3" fontId="60" fillId="33" borderId="0" xfId="0" applyNumberFormat="1" applyFont="1" applyFill="1" applyBorder="1" applyAlignment="1">
      <alignment horizontal="left"/>
    </xf>
    <xf numFmtId="3" fontId="60" fillId="33" borderId="0" xfId="0" applyNumberFormat="1" applyFont="1" applyFill="1" applyBorder="1" applyAlignment="1">
      <alignment horizontal="center"/>
    </xf>
    <xf numFmtId="4" fontId="60" fillId="33" borderId="0" xfId="0" applyNumberFormat="1" applyFont="1" applyFill="1" applyBorder="1" applyAlignment="1">
      <alignment/>
    </xf>
    <xf numFmtId="3" fontId="59" fillId="33" borderId="0" xfId="0" applyNumberFormat="1" applyFont="1" applyFill="1" applyBorder="1" applyAlignment="1">
      <alignment horizontal="center"/>
    </xf>
    <xf numFmtId="3" fontId="60" fillId="33" borderId="0" xfId="0" applyNumberFormat="1" applyFont="1" applyFill="1" applyAlignment="1">
      <alignment/>
    </xf>
    <xf numFmtId="3" fontId="60" fillId="33" borderId="0" xfId="0" applyNumberFormat="1" applyFont="1" applyFill="1" applyAlignment="1">
      <alignment horizontal="left"/>
    </xf>
    <xf numFmtId="171" fontId="60" fillId="33" borderId="0" xfId="0" applyNumberFormat="1" applyFont="1" applyFill="1" applyAlignment="1">
      <alignment/>
    </xf>
    <xf numFmtId="164" fontId="60" fillId="33" borderId="0" xfId="0" applyNumberFormat="1" applyFont="1" applyFill="1" applyBorder="1" applyAlignment="1">
      <alignment horizontal="center"/>
    </xf>
    <xf numFmtId="164" fontId="59" fillId="33" borderId="0" xfId="0" applyNumberFormat="1" applyFont="1" applyFill="1" applyBorder="1" applyAlignment="1">
      <alignment horizontal="center"/>
    </xf>
    <xf numFmtId="164" fontId="60" fillId="33" borderId="0" xfId="0" applyNumberFormat="1" applyFont="1" applyFill="1" applyBorder="1" applyAlignment="1">
      <alignment/>
    </xf>
    <xf numFmtId="165" fontId="60" fillId="33" borderId="0" xfId="0" applyNumberFormat="1" applyFont="1" applyFill="1" applyBorder="1" applyAlignment="1">
      <alignment horizontal="left"/>
    </xf>
    <xf numFmtId="4" fontId="60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165" fontId="59" fillId="33" borderId="15" xfId="0" applyNumberFormat="1" applyFont="1" applyFill="1" applyBorder="1" applyAlignment="1">
      <alignment horizontal="center" vertical="center" wrapText="1"/>
    </xf>
    <xf numFmtId="165" fontId="60" fillId="33" borderId="10" xfId="0" applyNumberFormat="1" applyFont="1" applyFill="1" applyBorder="1" applyAlignment="1">
      <alignment horizontal="center" vertical="center" wrapText="1"/>
    </xf>
    <xf numFmtId="165" fontId="59" fillId="33" borderId="14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164" fontId="59" fillId="33" borderId="10" xfId="0" applyNumberFormat="1" applyFont="1" applyFill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3" fontId="60" fillId="33" borderId="15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6" fillId="33" borderId="10" xfId="0" applyFont="1" applyFill="1" applyBorder="1" applyAlignment="1">
      <alignment horizontal="left" vertical="center" wrapText="1"/>
    </xf>
    <xf numFmtId="165" fontId="66" fillId="33" borderId="10" xfId="0" applyNumberFormat="1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166" fontId="60" fillId="33" borderId="10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60" fillId="33" borderId="15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172" fontId="66" fillId="33" borderId="10" xfId="34" applyFont="1" applyFill="1" applyBorder="1" applyAlignment="1" applyProtection="1">
      <alignment horizontal="left" vertical="center" wrapText="1"/>
      <protection/>
    </xf>
    <xf numFmtId="0" fontId="60" fillId="33" borderId="12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4" fontId="65" fillId="33" borderId="10" xfId="0" applyNumberFormat="1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165" fontId="61" fillId="33" borderId="1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1" fillId="33" borderId="15" xfId="0" applyFont="1" applyFill="1" applyBorder="1" applyAlignment="1">
      <alignment horizontal="center" vertical="center"/>
    </xf>
    <xf numFmtId="164" fontId="61" fillId="33" borderId="20" xfId="0" applyNumberFormat="1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Excel_BuiltIn_Currency" xfId="34"/>
    <cellStyle name="Heading" xfId="35"/>
    <cellStyle name="Heading1" xfId="36"/>
    <cellStyle name="Result" xfId="37"/>
    <cellStyle name="Result2" xfId="38"/>
    <cellStyle name="TableStyleLigh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г.Павловск_Петроградский_на проверку" xfId="59"/>
    <cellStyle name="Обычный_Лист1_Форма АП (вариант 2) пр.ч. 2013" xfId="60"/>
    <cellStyle name="Обычный_Передача  на 25.11.11" xfId="61"/>
    <cellStyle name="Обычный_Петродв.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399"/>
  <sheetViews>
    <sheetView tabSelected="1" zoomScale="25" zoomScaleNormal="25" zoomScalePageLayoutView="0" workbookViewId="0" topLeftCell="A102">
      <selection activeCell="A1" sqref="A1"/>
    </sheetView>
  </sheetViews>
  <sheetFormatPr defaultColWidth="8.796875" defaultRowHeight="14.25" outlineLevelRow="1"/>
  <cols>
    <col min="1" max="1" width="5.19921875" style="29" customWidth="1"/>
    <col min="2" max="2" width="41.5" style="12" customWidth="1"/>
    <col min="3" max="3" width="41.5" style="331" customWidth="1"/>
    <col min="4" max="4" width="39.8984375" style="331" customWidth="1"/>
    <col min="5" max="5" width="12.59765625" style="12" customWidth="1"/>
    <col min="6" max="6" width="10.8984375" style="29" hidden="1" customWidth="1"/>
    <col min="7" max="7" width="13.8984375" style="406" customWidth="1"/>
    <col min="8" max="8" width="13" style="268" customWidth="1"/>
    <col min="9" max="10" width="11.19921875" style="345" hidden="1" customWidth="1"/>
    <col min="11" max="11" width="16.59765625" style="345" hidden="1" customWidth="1"/>
    <col min="12" max="12" width="13.5" style="11" hidden="1" customWidth="1"/>
    <col min="13" max="14" width="10.69921875" style="12" customWidth="1"/>
    <col min="15" max="15" width="18.09765625" style="12" customWidth="1"/>
    <col min="16" max="16" width="11.59765625" style="12" hidden="1" customWidth="1"/>
    <col min="17" max="17" width="15.19921875" style="12" customWidth="1"/>
    <col min="18" max="18" width="14.8984375" style="12" customWidth="1"/>
    <col min="19" max="19" width="16.19921875" style="12" customWidth="1"/>
    <col min="20" max="20" width="14.3984375" style="12" hidden="1" customWidth="1"/>
    <col min="21" max="21" width="14.5" style="358" hidden="1" customWidth="1"/>
    <col min="22" max="22" width="23.5" style="401" hidden="1" customWidth="1"/>
    <col min="23" max="23" width="9.69921875" style="12" hidden="1" customWidth="1"/>
    <col min="24" max="24" width="12" style="358" hidden="1" customWidth="1"/>
    <col min="25" max="25" width="9" style="12" hidden="1" customWidth="1"/>
    <col min="26" max="26" width="14.19921875" style="12" hidden="1" customWidth="1"/>
    <col min="27" max="85" width="8.3984375" style="12" hidden="1" customWidth="1"/>
    <col min="86" max="86" width="35.19921875" style="12" customWidth="1"/>
    <col min="87" max="87" width="22.19921875" style="12" customWidth="1"/>
    <col min="88" max="92" width="19" style="12" customWidth="1"/>
    <col min="93" max="93" width="34.59765625" style="12" customWidth="1"/>
    <col min="94" max="16384" width="8.5" style="12" customWidth="1"/>
  </cols>
  <sheetData>
    <row r="1" spans="1:25" s="12" customFormat="1" ht="22.5" customHeight="1" hidden="1" outlineLevel="1">
      <c r="A1" s="1"/>
      <c r="B1" s="2"/>
      <c r="C1" s="3"/>
      <c r="D1" s="3"/>
      <c r="E1" s="4"/>
      <c r="F1" s="4"/>
      <c r="G1" s="5"/>
      <c r="H1" s="6"/>
      <c r="I1" s="7"/>
      <c r="J1" s="7"/>
      <c r="K1" s="7"/>
      <c r="L1" s="1"/>
      <c r="M1" s="8"/>
      <c r="N1" s="1" t="s">
        <v>0</v>
      </c>
      <c r="O1" s="8"/>
      <c r="P1" s="8"/>
      <c r="Q1" s="9"/>
      <c r="R1" s="9"/>
      <c r="S1" s="9"/>
      <c r="T1" s="10"/>
      <c r="U1" s="11"/>
      <c r="V1" s="11"/>
      <c r="W1" s="11"/>
      <c r="X1" s="11"/>
      <c r="Y1" s="11"/>
    </row>
    <row r="2" spans="1:25" s="12" customFormat="1" ht="22.5" customHeight="1" hidden="1" outlineLevel="1">
      <c r="A2" s="1"/>
      <c r="B2" s="2"/>
      <c r="C2" s="3"/>
      <c r="D2" s="3"/>
      <c r="E2" s="4"/>
      <c r="F2" s="4"/>
      <c r="G2" s="5"/>
      <c r="H2" s="6"/>
      <c r="I2" s="7"/>
      <c r="J2" s="7"/>
      <c r="K2" s="7"/>
      <c r="L2" s="1"/>
      <c r="M2" s="8"/>
      <c r="N2" s="1" t="s">
        <v>1</v>
      </c>
      <c r="O2" s="8"/>
      <c r="P2" s="8"/>
      <c r="Q2" s="9"/>
      <c r="R2" s="9"/>
      <c r="S2" s="9"/>
      <c r="T2" s="10"/>
      <c r="U2" s="11"/>
      <c r="V2" s="11"/>
      <c r="W2" s="11"/>
      <c r="X2" s="11"/>
      <c r="Y2" s="11"/>
    </row>
    <row r="3" spans="1:25" s="12" customFormat="1" ht="22.5" customHeight="1" hidden="1" outlineLevel="1">
      <c r="A3" s="1"/>
      <c r="B3" s="2"/>
      <c r="C3" s="3"/>
      <c r="D3" s="3"/>
      <c r="E3" s="4"/>
      <c r="F3" s="4"/>
      <c r="G3" s="5"/>
      <c r="H3" s="6"/>
      <c r="I3" s="7"/>
      <c r="J3" s="7"/>
      <c r="K3" s="7"/>
      <c r="L3" s="1"/>
      <c r="M3" s="8"/>
      <c r="N3" s="13" t="s">
        <v>2</v>
      </c>
      <c r="O3" s="8"/>
      <c r="P3" s="8"/>
      <c r="Q3" s="9"/>
      <c r="R3" s="9"/>
      <c r="S3" s="9"/>
      <c r="T3" s="10"/>
      <c r="U3" s="11"/>
      <c r="V3" s="11"/>
      <c r="W3" s="11"/>
      <c r="X3" s="11"/>
      <c r="Y3" s="11"/>
    </row>
    <row r="4" spans="1:25" s="12" customFormat="1" ht="22.5" customHeight="1" hidden="1" outlineLevel="1">
      <c r="A4" s="1"/>
      <c r="B4" s="2"/>
      <c r="C4" s="3"/>
      <c r="D4" s="3"/>
      <c r="E4" s="4"/>
      <c r="F4" s="4"/>
      <c r="G4" s="5"/>
      <c r="H4" s="6"/>
      <c r="I4" s="7"/>
      <c r="J4" s="7"/>
      <c r="K4" s="7"/>
      <c r="L4" s="1"/>
      <c r="M4" s="8"/>
      <c r="N4" s="14" t="s">
        <v>3</v>
      </c>
      <c r="O4" s="8"/>
      <c r="P4" s="8"/>
      <c r="Q4" s="9"/>
      <c r="R4" s="9"/>
      <c r="S4" s="9"/>
      <c r="T4" s="10"/>
      <c r="U4" s="11"/>
      <c r="V4" s="11"/>
      <c r="W4" s="11"/>
      <c r="X4" s="11"/>
      <c r="Y4" s="11"/>
    </row>
    <row r="5" spans="1:25" s="12" customFormat="1" ht="22.5" customHeight="1" hidden="1" collapsed="1">
      <c r="A5" s="1"/>
      <c r="B5" s="2"/>
      <c r="C5" s="3"/>
      <c r="D5" s="3"/>
      <c r="E5" s="4"/>
      <c r="F5" s="4"/>
      <c r="G5" s="5"/>
      <c r="H5" s="6"/>
      <c r="I5" s="7"/>
      <c r="J5" s="7"/>
      <c r="K5" s="7"/>
      <c r="L5" s="1"/>
      <c r="M5" s="8"/>
      <c r="N5" s="14"/>
      <c r="O5" s="8" t="s">
        <v>4</v>
      </c>
      <c r="P5" s="8"/>
      <c r="Q5" s="9"/>
      <c r="R5" s="9"/>
      <c r="S5" s="9"/>
      <c r="T5" s="10"/>
      <c r="U5" s="11"/>
      <c r="V5" s="11"/>
      <c r="W5" s="11"/>
      <c r="X5" s="11"/>
      <c r="Y5" s="11"/>
    </row>
    <row r="6" spans="1:25" s="12" customFormat="1" ht="22.5" customHeight="1" hidden="1">
      <c r="A6" s="1"/>
      <c r="B6" s="2"/>
      <c r="C6" s="3"/>
      <c r="D6" s="3"/>
      <c r="E6" s="4"/>
      <c r="F6" s="4"/>
      <c r="G6" s="5"/>
      <c r="H6" s="6"/>
      <c r="I6" s="7"/>
      <c r="J6" s="7"/>
      <c r="K6" s="7"/>
      <c r="L6" s="1"/>
      <c r="M6" s="8"/>
      <c r="N6" s="14"/>
      <c r="O6" s="8" t="s">
        <v>5</v>
      </c>
      <c r="P6" s="8"/>
      <c r="Q6" s="9"/>
      <c r="R6" s="9"/>
      <c r="S6" s="9"/>
      <c r="T6" s="10"/>
      <c r="U6" s="11"/>
      <c r="V6" s="11"/>
      <c r="W6" s="11"/>
      <c r="X6" s="11"/>
      <c r="Y6" s="11"/>
    </row>
    <row r="7" spans="1:25" s="12" customFormat="1" ht="22.5" customHeight="1" hidden="1">
      <c r="A7" s="1"/>
      <c r="B7" s="2"/>
      <c r="C7" s="3"/>
      <c r="D7" s="3"/>
      <c r="E7" s="4"/>
      <c r="F7" s="4"/>
      <c r="G7" s="5"/>
      <c r="H7" s="6"/>
      <c r="I7" s="7"/>
      <c r="J7" s="7"/>
      <c r="K7" s="7"/>
      <c r="L7" s="1"/>
      <c r="M7" s="8"/>
      <c r="N7" s="14"/>
      <c r="O7" s="8" t="s">
        <v>6</v>
      </c>
      <c r="P7" s="8"/>
      <c r="Q7" s="9"/>
      <c r="R7" s="9"/>
      <c r="S7" s="9"/>
      <c r="T7" s="10"/>
      <c r="U7" s="11"/>
      <c r="V7" s="11"/>
      <c r="W7" s="11"/>
      <c r="X7" s="11"/>
      <c r="Y7" s="11"/>
    </row>
    <row r="8" spans="1:25" s="12" customFormat="1" ht="22.5" customHeight="1" hidden="1">
      <c r="A8" s="1"/>
      <c r="B8" s="2"/>
      <c r="C8" s="3"/>
      <c r="D8" s="3"/>
      <c r="E8" s="4"/>
      <c r="F8" s="4"/>
      <c r="G8" s="5"/>
      <c r="H8" s="6"/>
      <c r="I8" s="7"/>
      <c r="J8" s="7"/>
      <c r="K8" s="7"/>
      <c r="L8" s="1"/>
      <c r="M8" s="8"/>
      <c r="N8" s="8"/>
      <c r="O8" s="8" t="s">
        <v>7</v>
      </c>
      <c r="P8" s="8"/>
      <c r="Q8" s="9"/>
      <c r="R8" s="9"/>
      <c r="S8" s="9"/>
      <c r="T8" s="10"/>
      <c r="U8" s="11"/>
      <c r="V8" s="11"/>
      <c r="W8" s="11"/>
      <c r="X8" s="11"/>
      <c r="Y8" s="11"/>
    </row>
    <row r="9" spans="1:93" s="16" customFormat="1" ht="24.75" customHeight="1">
      <c r="A9" s="407" t="s">
        <v>8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</row>
    <row r="10" spans="1:98" s="16" customFormat="1" ht="24.75" customHeight="1">
      <c r="A10" s="407" t="s">
        <v>9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17"/>
      <c r="CQ10" s="17"/>
      <c r="CR10" s="17"/>
      <c r="CS10" s="17"/>
      <c r="CT10" s="17"/>
    </row>
    <row r="11" spans="1:99" s="11" customFormat="1" ht="15.75" customHeight="1">
      <c r="A11" s="6"/>
      <c r="B11" s="6"/>
      <c r="C11" s="18"/>
      <c r="D11" s="18"/>
      <c r="E11" s="6"/>
      <c r="F11" s="6"/>
      <c r="G11" s="1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20"/>
      <c r="W11" s="12"/>
      <c r="X11" s="21"/>
      <c r="Y11" s="9"/>
      <c r="Z11" s="9"/>
      <c r="AA11" s="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3" s="29" customFormat="1" ht="21" customHeight="1">
      <c r="A12" s="408" t="s">
        <v>10</v>
      </c>
      <c r="B12" s="408" t="s">
        <v>11</v>
      </c>
      <c r="C12" s="409" t="s">
        <v>12</v>
      </c>
      <c r="D12" s="409"/>
      <c r="E12" s="408" t="s">
        <v>13</v>
      </c>
      <c r="F12" s="23"/>
      <c r="G12" s="410" t="s">
        <v>14</v>
      </c>
      <c r="H12" s="411" t="s">
        <v>15</v>
      </c>
      <c r="I12" s="412" t="s">
        <v>16</v>
      </c>
      <c r="J12" s="412"/>
      <c r="K12" s="412"/>
      <c r="L12" s="413" t="s">
        <v>17</v>
      </c>
      <c r="M12" s="419" t="s">
        <v>18</v>
      </c>
      <c r="N12" s="420" t="s">
        <v>19</v>
      </c>
      <c r="O12" s="408" t="s">
        <v>20</v>
      </c>
      <c r="P12" s="23"/>
      <c r="Q12" s="419" t="s">
        <v>21</v>
      </c>
      <c r="R12" s="420" t="s">
        <v>22</v>
      </c>
      <c r="S12" s="420" t="s">
        <v>23</v>
      </c>
      <c r="T12" s="25"/>
      <c r="U12" s="26"/>
      <c r="V12" s="27"/>
      <c r="W12" s="28"/>
      <c r="X12" s="26"/>
      <c r="Y12" s="28"/>
      <c r="Z12" s="28"/>
      <c r="CH12" s="414" t="s">
        <v>24</v>
      </c>
      <c r="CI12" s="414"/>
      <c r="CJ12" s="414"/>
      <c r="CK12" s="414"/>
      <c r="CL12" s="414"/>
      <c r="CM12" s="414"/>
      <c r="CN12" s="414"/>
      <c r="CO12" s="414"/>
    </row>
    <row r="13" spans="1:93" s="29" customFormat="1" ht="94.5" customHeight="1">
      <c r="A13" s="408"/>
      <c r="B13" s="408"/>
      <c r="C13" s="22" t="s">
        <v>25</v>
      </c>
      <c r="D13" s="22" t="s">
        <v>26</v>
      </c>
      <c r="E13" s="408"/>
      <c r="F13" s="30" t="s">
        <v>13</v>
      </c>
      <c r="G13" s="410"/>
      <c r="H13" s="411"/>
      <c r="I13" s="31" t="s">
        <v>27</v>
      </c>
      <c r="J13" s="31" t="s">
        <v>28</v>
      </c>
      <c r="K13" s="31" t="s">
        <v>29</v>
      </c>
      <c r="L13" s="413"/>
      <c r="M13" s="419"/>
      <c r="N13" s="420"/>
      <c r="O13" s="408"/>
      <c r="P13" s="30" t="s">
        <v>30</v>
      </c>
      <c r="Q13" s="419"/>
      <c r="R13" s="420"/>
      <c r="S13" s="420"/>
      <c r="T13" s="25"/>
      <c r="U13" s="26"/>
      <c r="V13" s="27"/>
      <c r="W13" s="28"/>
      <c r="X13" s="26"/>
      <c r="Y13" s="28"/>
      <c r="Z13" s="28"/>
      <c r="CH13" s="32" t="s">
        <v>31</v>
      </c>
      <c r="CI13" s="32" t="s">
        <v>32</v>
      </c>
      <c r="CJ13" s="32" t="s">
        <v>33</v>
      </c>
      <c r="CK13" s="32" t="s">
        <v>34</v>
      </c>
      <c r="CL13" s="32" t="s">
        <v>35</v>
      </c>
      <c r="CM13" s="32" t="s">
        <v>36</v>
      </c>
      <c r="CN13" s="32" t="s">
        <v>37</v>
      </c>
      <c r="CO13" s="33" t="s">
        <v>38</v>
      </c>
    </row>
    <row r="14" spans="1:93" s="45" customFormat="1" ht="22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0"/>
      <c r="G14" s="35">
        <v>6</v>
      </c>
      <c r="H14" s="36">
        <v>7</v>
      </c>
      <c r="I14" s="37" t="s">
        <v>39</v>
      </c>
      <c r="J14" s="37" t="s">
        <v>40</v>
      </c>
      <c r="K14" s="37" t="s">
        <v>41</v>
      </c>
      <c r="L14" s="36">
        <v>8</v>
      </c>
      <c r="M14" s="38">
        <v>9</v>
      </c>
      <c r="N14" s="38">
        <v>10</v>
      </c>
      <c r="O14" s="38">
        <v>11</v>
      </c>
      <c r="P14" s="39"/>
      <c r="Q14" s="38">
        <v>12</v>
      </c>
      <c r="R14" s="40">
        <v>13</v>
      </c>
      <c r="S14" s="40">
        <v>14</v>
      </c>
      <c r="T14" s="41"/>
      <c r="U14" s="42"/>
      <c r="V14" s="43"/>
      <c r="W14" s="41"/>
      <c r="X14" s="26"/>
      <c r="Y14" s="44"/>
      <c r="Z14" s="44"/>
      <c r="CH14" s="46" t="s">
        <v>42</v>
      </c>
      <c r="CI14" s="47"/>
      <c r="CJ14" s="48" t="s">
        <v>43</v>
      </c>
      <c r="CK14" s="47"/>
      <c r="CL14" s="46" t="s">
        <v>44</v>
      </c>
      <c r="CM14" s="47" t="s">
        <v>45</v>
      </c>
      <c r="CN14" s="47" t="s">
        <v>45</v>
      </c>
      <c r="CO14" s="46" t="s">
        <v>42</v>
      </c>
    </row>
    <row r="15" spans="1:93" s="29" customFormat="1" ht="28.5" customHeight="1">
      <c r="A15" s="415" t="s">
        <v>46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50"/>
      <c r="U15" s="42"/>
      <c r="V15" s="43"/>
      <c r="W15" s="41"/>
      <c r="X15" s="26"/>
      <c r="Y15" s="28"/>
      <c r="Z15" s="28"/>
      <c r="CH15" s="48"/>
      <c r="CI15" s="48"/>
      <c r="CJ15" s="48"/>
      <c r="CK15" s="48"/>
      <c r="CL15" s="48"/>
      <c r="CM15" s="48"/>
      <c r="CN15" s="48"/>
      <c r="CO15" s="48"/>
    </row>
    <row r="16" spans="1:93" ht="30" customHeight="1">
      <c r="A16" s="30">
        <v>1</v>
      </c>
      <c r="B16" s="51" t="s">
        <v>47</v>
      </c>
      <c r="C16" s="52" t="s">
        <v>48</v>
      </c>
      <c r="D16" s="52" t="s">
        <v>49</v>
      </c>
      <c r="E16" s="53" t="s">
        <v>50</v>
      </c>
      <c r="F16" s="30" t="s">
        <v>51</v>
      </c>
      <c r="G16" s="54">
        <v>491</v>
      </c>
      <c r="H16" s="55">
        <v>6.819</v>
      </c>
      <c r="I16" s="56"/>
      <c r="J16" s="57">
        <v>0.443</v>
      </c>
      <c r="K16" s="56"/>
      <c r="L16" s="58"/>
      <c r="M16" s="59">
        <v>19.08</v>
      </c>
      <c r="N16" s="59">
        <v>2</v>
      </c>
      <c r="O16" s="60">
        <v>982</v>
      </c>
      <c r="P16" s="59">
        <f>893+287</f>
        <v>1180</v>
      </c>
      <c r="Q16" s="59">
        <v>0</v>
      </c>
      <c r="R16" s="59"/>
      <c r="S16" s="61"/>
      <c r="T16" s="62"/>
      <c r="U16" s="63"/>
      <c r="V16" s="64"/>
      <c r="W16" s="65"/>
      <c r="X16" s="63"/>
      <c r="Y16" s="65"/>
      <c r="Z16" s="65"/>
      <c r="CH16" s="46" t="s">
        <v>52</v>
      </c>
      <c r="CI16" s="46"/>
      <c r="CJ16" s="46"/>
      <c r="CK16" s="46"/>
      <c r="CL16" s="46"/>
      <c r="CM16" s="46"/>
      <c r="CN16" s="46"/>
      <c r="CO16" s="46"/>
    </row>
    <row r="17" spans="1:93" ht="34.5" customHeight="1">
      <c r="A17" s="30">
        <f>A16+1</f>
        <v>2</v>
      </c>
      <c r="B17" s="66" t="s">
        <v>53</v>
      </c>
      <c r="C17" s="52" t="s">
        <v>54</v>
      </c>
      <c r="D17" s="52" t="s">
        <v>55</v>
      </c>
      <c r="E17" s="53" t="s">
        <v>50</v>
      </c>
      <c r="F17" s="22" t="s">
        <v>51</v>
      </c>
      <c r="G17" s="67">
        <v>1977</v>
      </c>
      <c r="H17" s="55">
        <v>38.478</v>
      </c>
      <c r="I17" s="68"/>
      <c r="J17" s="56">
        <v>4.815</v>
      </c>
      <c r="K17" s="68"/>
      <c r="L17" s="69"/>
      <c r="M17" s="70">
        <v>17</v>
      </c>
      <c r="N17" s="71">
        <v>2</v>
      </c>
      <c r="O17" s="60">
        <v>3954</v>
      </c>
      <c r="P17" s="59">
        <f>4943+1645</f>
        <v>6588</v>
      </c>
      <c r="Q17" s="71">
        <v>0</v>
      </c>
      <c r="R17" s="71" t="s">
        <v>51</v>
      </c>
      <c r="S17" s="72">
        <v>22.697</v>
      </c>
      <c r="T17" s="62"/>
      <c r="U17" s="63"/>
      <c r="V17" s="64"/>
      <c r="W17" s="65"/>
      <c r="X17" s="63"/>
      <c r="Y17" s="63"/>
      <c r="Z17" s="65"/>
      <c r="CH17" s="46" t="s">
        <v>52</v>
      </c>
      <c r="CI17" s="46"/>
      <c r="CJ17" s="46"/>
      <c r="CK17" s="46"/>
      <c r="CL17" s="46"/>
      <c r="CM17" s="46"/>
      <c r="CN17" s="46"/>
      <c r="CO17" s="46"/>
    </row>
    <row r="18" spans="1:93" s="92" customFormat="1" ht="34.5" customHeight="1">
      <c r="A18" s="73">
        <f>A17+1</f>
        <v>3</v>
      </c>
      <c r="B18" s="74" t="s">
        <v>56</v>
      </c>
      <c r="C18" s="75" t="s">
        <v>57</v>
      </c>
      <c r="D18" s="75"/>
      <c r="E18" s="76" t="s">
        <v>50</v>
      </c>
      <c r="F18" s="77"/>
      <c r="G18" s="78">
        <v>971</v>
      </c>
      <c r="H18" s="79">
        <v>28.79</v>
      </c>
      <c r="I18" s="80"/>
      <c r="J18" s="81"/>
      <c r="K18" s="80"/>
      <c r="L18" s="82"/>
      <c r="M18" s="83">
        <v>23</v>
      </c>
      <c r="N18" s="84">
        <v>4</v>
      </c>
      <c r="O18" s="85">
        <f>G18*N18</f>
        <v>3884</v>
      </c>
      <c r="P18" s="86"/>
      <c r="Q18" s="84"/>
      <c r="R18" s="84"/>
      <c r="S18" s="87"/>
      <c r="T18" s="88"/>
      <c r="U18" s="89"/>
      <c r="V18" s="90"/>
      <c r="W18" s="91"/>
      <c r="X18" s="89"/>
      <c r="Y18" s="89"/>
      <c r="Z18" s="91"/>
      <c r="CH18" s="93"/>
      <c r="CI18" s="93"/>
      <c r="CJ18" s="93"/>
      <c r="CK18" s="93"/>
      <c r="CL18" s="93"/>
      <c r="CM18" s="93"/>
      <c r="CN18" s="93"/>
      <c r="CO18" s="93"/>
    </row>
    <row r="19" spans="1:93" ht="49.5" customHeight="1">
      <c r="A19" s="94">
        <f>A18+1</f>
        <v>4</v>
      </c>
      <c r="B19" s="66" t="s">
        <v>58</v>
      </c>
      <c r="C19" s="52" t="s">
        <v>59</v>
      </c>
      <c r="D19" s="52" t="s">
        <v>60</v>
      </c>
      <c r="E19" s="53" t="s">
        <v>50</v>
      </c>
      <c r="F19" s="22" t="s">
        <v>51</v>
      </c>
      <c r="G19" s="67">
        <v>1458</v>
      </c>
      <c r="H19" s="55">
        <v>18.916</v>
      </c>
      <c r="I19" s="68"/>
      <c r="J19" s="56"/>
      <c r="K19" s="68"/>
      <c r="L19" s="69"/>
      <c r="M19" s="70">
        <v>13</v>
      </c>
      <c r="N19" s="71">
        <v>2</v>
      </c>
      <c r="O19" s="60">
        <v>2916</v>
      </c>
      <c r="P19" s="59">
        <f>2967+277</f>
        <v>3244</v>
      </c>
      <c r="Q19" s="71">
        <v>0</v>
      </c>
      <c r="R19" s="71" t="s">
        <v>61</v>
      </c>
      <c r="S19" s="72"/>
      <c r="T19" s="62"/>
      <c r="U19" s="63"/>
      <c r="V19" s="64"/>
      <c r="W19" s="65"/>
      <c r="X19" s="63"/>
      <c r="Y19" s="63"/>
      <c r="Z19" s="65"/>
      <c r="CH19" s="95" t="s">
        <v>62</v>
      </c>
      <c r="CI19" s="95" t="s">
        <v>63</v>
      </c>
      <c r="CJ19" s="96" t="s">
        <v>64</v>
      </c>
      <c r="CK19" s="97" t="s">
        <v>65</v>
      </c>
      <c r="CL19" s="97" t="s">
        <v>66</v>
      </c>
      <c r="CM19" s="97" t="s">
        <v>67</v>
      </c>
      <c r="CN19" s="96" t="s">
        <v>67</v>
      </c>
      <c r="CO19" s="96"/>
    </row>
    <row r="20" spans="1:93" s="106" customFormat="1" ht="38.25" customHeight="1">
      <c r="A20" s="416">
        <f>A19+1</f>
        <v>5</v>
      </c>
      <c r="B20" s="417" t="s">
        <v>68</v>
      </c>
      <c r="C20" s="417" t="s">
        <v>55</v>
      </c>
      <c r="D20" s="417" t="s">
        <v>69</v>
      </c>
      <c r="E20" s="53" t="s">
        <v>50</v>
      </c>
      <c r="F20" s="22" t="s">
        <v>51</v>
      </c>
      <c r="G20" s="410">
        <v>223.66</v>
      </c>
      <c r="H20" s="418">
        <v>3.379</v>
      </c>
      <c r="I20" s="100"/>
      <c r="J20" s="100"/>
      <c r="K20" s="100"/>
      <c r="L20" s="101"/>
      <c r="M20" s="419">
        <v>15.11</v>
      </c>
      <c r="N20" s="408">
        <v>2</v>
      </c>
      <c r="O20" s="421">
        <v>447</v>
      </c>
      <c r="P20" s="71">
        <v>458</v>
      </c>
      <c r="Q20" s="422">
        <v>0</v>
      </c>
      <c r="R20" s="408" t="s">
        <v>61</v>
      </c>
      <c r="S20" s="423"/>
      <c r="T20" s="102"/>
      <c r="U20" s="103"/>
      <c r="V20" s="104"/>
      <c r="W20" s="105"/>
      <c r="X20" s="103"/>
      <c r="Y20" s="103"/>
      <c r="Z20" s="105"/>
      <c r="CH20" s="95" t="s">
        <v>62</v>
      </c>
      <c r="CI20" s="95" t="s">
        <v>70</v>
      </c>
      <c r="CJ20" s="107" t="s">
        <v>71</v>
      </c>
      <c r="CK20" s="97" t="s">
        <v>72</v>
      </c>
      <c r="CL20" s="97" t="s">
        <v>66</v>
      </c>
      <c r="CM20" s="97" t="s">
        <v>67</v>
      </c>
      <c r="CN20" s="96" t="s">
        <v>67</v>
      </c>
      <c r="CO20" s="96" t="s">
        <v>73</v>
      </c>
    </row>
    <row r="21" spans="1:93" s="106" customFormat="1" ht="31.5">
      <c r="A21" s="416"/>
      <c r="B21" s="417"/>
      <c r="C21" s="417"/>
      <c r="D21" s="417"/>
      <c r="E21" s="53"/>
      <c r="F21" s="22"/>
      <c r="G21" s="410"/>
      <c r="H21" s="418"/>
      <c r="I21" s="100"/>
      <c r="J21" s="100"/>
      <c r="K21" s="100"/>
      <c r="L21" s="101"/>
      <c r="M21" s="419"/>
      <c r="N21" s="408"/>
      <c r="O21" s="421"/>
      <c r="P21" s="108"/>
      <c r="Q21" s="422"/>
      <c r="R21" s="408"/>
      <c r="S21" s="423"/>
      <c r="T21" s="102"/>
      <c r="U21" s="103"/>
      <c r="V21" s="104"/>
      <c r="W21" s="105"/>
      <c r="X21" s="103"/>
      <c r="Y21" s="103"/>
      <c r="Z21" s="105"/>
      <c r="CH21" s="95" t="s">
        <v>62</v>
      </c>
      <c r="CI21" s="95" t="s">
        <v>74</v>
      </c>
      <c r="CJ21" s="96" t="s">
        <v>64</v>
      </c>
      <c r="CK21" s="97" t="s">
        <v>75</v>
      </c>
      <c r="CL21" s="97" t="s">
        <v>66</v>
      </c>
      <c r="CM21" s="97" t="s">
        <v>67</v>
      </c>
      <c r="CN21" s="96" t="s">
        <v>67</v>
      </c>
      <c r="CO21" s="96"/>
    </row>
    <row r="22" spans="1:93" ht="29.25" customHeight="1">
      <c r="A22" s="30">
        <f>A20+1</f>
        <v>6</v>
      </c>
      <c r="B22" s="66" t="s">
        <v>68</v>
      </c>
      <c r="C22" s="52" t="s">
        <v>69</v>
      </c>
      <c r="D22" s="52" t="s">
        <v>76</v>
      </c>
      <c r="E22" s="53" t="s">
        <v>50</v>
      </c>
      <c r="F22" s="22" t="s">
        <v>51</v>
      </c>
      <c r="G22" s="67">
        <f>2446-223.66</f>
        <v>2222.34</v>
      </c>
      <c r="H22" s="55">
        <v>40.655</v>
      </c>
      <c r="I22" s="68"/>
      <c r="J22" s="68">
        <v>0.038</v>
      </c>
      <c r="K22" s="68"/>
      <c r="L22" s="69"/>
      <c r="M22" s="109">
        <v>17.62</v>
      </c>
      <c r="N22" s="71">
        <v>2</v>
      </c>
      <c r="O22" s="60">
        <v>4445</v>
      </c>
      <c r="P22" s="59">
        <f>5588-458</f>
        <v>5130</v>
      </c>
      <c r="Q22" s="71">
        <v>293.4</v>
      </c>
      <c r="R22" s="71" t="s">
        <v>77</v>
      </c>
      <c r="S22" s="72">
        <v>40.617</v>
      </c>
      <c r="T22" s="62"/>
      <c r="U22" s="63"/>
      <c r="V22" s="64"/>
      <c r="W22" s="65"/>
      <c r="X22" s="63"/>
      <c r="Y22" s="63"/>
      <c r="Z22" s="65"/>
      <c r="CH22" s="46" t="s">
        <v>52</v>
      </c>
      <c r="CI22" s="46"/>
      <c r="CJ22" s="46"/>
      <c r="CK22" s="46"/>
      <c r="CL22" s="46"/>
      <c r="CM22" s="46"/>
      <c r="CN22" s="46"/>
      <c r="CO22" s="46"/>
    </row>
    <row r="23" spans="1:93" ht="29.25" customHeight="1">
      <c r="A23" s="30">
        <f>A22+1</f>
        <v>7</v>
      </c>
      <c r="B23" s="110" t="s">
        <v>78</v>
      </c>
      <c r="C23" s="424" t="s">
        <v>79</v>
      </c>
      <c r="D23" s="424"/>
      <c r="E23" s="112" t="s">
        <v>50</v>
      </c>
      <c r="F23" s="98" t="s">
        <v>51</v>
      </c>
      <c r="G23" s="113">
        <v>29.5</v>
      </c>
      <c r="H23" s="114">
        <v>0.413</v>
      </c>
      <c r="I23" s="115"/>
      <c r="J23" s="116"/>
      <c r="K23" s="115"/>
      <c r="L23" s="117"/>
      <c r="M23" s="118">
        <v>14</v>
      </c>
      <c r="N23" s="119">
        <v>2</v>
      </c>
      <c r="O23" s="120">
        <v>59</v>
      </c>
      <c r="P23" s="121"/>
      <c r="Q23" s="119"/>
      <c r="R23" s="119"/>
      <c r="S23" s="122">
        <v>0.413</v>
      </c>
      <c r="T23" s="62"/>
      <c r="U23" s="63"/>
      <c r="V23" s="64"/>
      <c r="W23" s="65"/>
      <c r="X23" s="63"/>
      <c r="Y23" s="63"/>
      <c r="Z23" s="65"/>
      <c r="CH23" s="46" t="s">
        <v>52</v>
      </c>
      <c r="CI23" s="46"/>
      <c r="CJ23" s="46"/>
      <c r="CK23" s="46"/>
      <c r="CL23" s="46"/>
      <c r="CM23" s="46"/>
      <c r="CN23" s="46"/>
      <c r="CO23" s="46"/>
    </row>
    <row r="24" spans="1:93" ht="29.25" customHeight="1">
      <c r="A24" s="408">
        <f>A23+1</f>
        <v>8</v>
      </c>
      <c r="B24" s="417" t="s">
        <v>80</v>
      </c>
      <c r="C24" s="417" t="s">
        <v>81</v>
      </c>
      <c r="D24" s="417" t="s">
        <v>82</v>
      </c>
      <c r="E24" s="408" t="s">
        <v>50</v>
      </c>
      <c r="F24" s="22" t="s">
        <v>51</v>
      </c>
      <c r="G24" s="410">
        <v>989</v>
      </c>
      <c r="H24" s="418">
        <v>22.341</v>
      </c>
      <c r="I24" s="68"/>
      <c r="J24" s="123">
        <v>0.474</v>
      </c>
      <c r="K24" s="68"/>
      <c r="L24" s="69"/>
      <c r="M24" s="419">
        <v>22.26</v>
      </c>
      <c r="N24" s="408">
        <v>2</v>
      </c>
      <c r="O24" s="426">
        <v>1978</v>
      </c>
      <c r="P24" s="59">
        <f>2537+791</f>
        <v>3328</v>
      </c>
      <c r="Q24" s="427">
        <v>1018.9</v>
      </c>
      <c r="R24" s="408" t="s">
        <v>83</v>
      </c>
      <c r="S24" s="425">
        <v>21.867</v>
      </c>
      <c r="T24" s="62"/>
      <c r="U24" s="63"/>
      <c r="V24" s="64"/>
      <c r="W24" s="65"/>
      <c r="X24" s="63"/>
      <c r="Y24" s="63"/>
      <c r="Z24" s="65"/>
      <c r="CH24" s="95" t="s">
        <v>62</v>
      </c>
      <c r="CI24" s="95" t="s">
        <v>84</v>
      </c>
      <c r="CJ24" s="96" t="s">
        <v>71</v>
      </c>
      <c r="CK24" s="97" t="s">
        <v>85</v>
      </c>
      <c r="CL24" s="97" t="s">
        <v>66</v>
      </c>
      <c r="CM24" s="97" t="s">
        <v>67</v>
      </c>
      <c r="CN24" s="96" t="s">
        <v>45</v>
      </c>
      <c r="CO24" s="96"/>
    </row>
    <row r="25" spans="1:93" ht="29.25" customHeight="1">
      <c r="A25" s="408"/>
      <c r="B25" s="417"/>
      <c r="C25" s="417"/>
      <c r="D25" s="417"/>
      <c r="E25" s="408"/>
      <c r="F25" s="22"/>
      <c r="G25" s="410"/>
      <c r="H25" s="418"/>
      <c r="I25" s="124"/>
      <c r="J25" s="125"/>
      <c r="K25" s="126"/>
      <c r="L25" s="101"/>
      <c r="M25" s="419"/>
      <c r="N25" s="408"/>
      <c r="O25" s="426"/>
      <c r="P25" s="108"/>
      <c r="Q25" s="427"/>
      <c r="R25" s="408"/>
      <c r="S25" s="425"/>
      <c r="T25" s="62"/>
      <c r="U25" s="63"/>
      <c r="V25" s="64"/>
      <c r="W25" s="65"/>
      <c r="X25" s="63"/>
      <c r="Y25" s="63"/>
      <c r="Z25" s="65"/>
      <c r="CH25" s="95" t="s">
        <v>62</v>
      </c>
      <c r="CI25" s="95" t="s">
        <v>86</v>
      </c>
      <c r="CJ25" s="96" t="s">
        <v>71</v>
      </c>
      <c r="CK25" s="97" t="s">
        <v>85</v>
      </c>
      <c r="CL25" s="97" t="s">
        <v>66</v>
      </c>
      <c r="CM25" s="97" t="s">
        <v>67</v>
      </c>
      <c r="CN25" s="96" t="s">
        <v>45</v>
      </c>
      <c r="CO25" s="96"/>
    </row>
    <row r="26" spans="1:93" ht="31.5">
      <c r="A26" s="408"/>
      <c r="B26" s="417"/>
      <c r="C26" s="417"/>
      <c r="D26" s="417"/>
      <c r="E26" s="127"/>
      <c r="F26" s="22"/>
      <c r="G26" s="410"/>
      <c r="H26" s="418"/>
      <c r="I26" s="124"/>
      <c r="J26" s="125"/>
      <c r="K26" s="126"/>
      <c r="L26" s="101"/>
      <c r="M26" s="419"/>
      <c r="N26" s="408"/>
      <c r="O26" s="426"/>
      <c r="P26" s="108"/>
      <c r="Q26" s="427"/>
      <c r="R26" s="408"/>
      <c r="S26" s="425"/>
      <c r="T26" s="62"/>
      <c r="U26" s="63"/>
      <c r="V26" s="64"/>
      <c r="W26" s="65"/>
      <c r="X26" s="63"/>
      <c r="Y26" s="63"/>
      <c r="Z26" s="65"/>
      <c r="CH26" s="128" t="s">
        <v>87</v>
      </c>
      <c r="CI26" s="128" t="s">
        <v>88</v>
      </c>
      <c r="CJ26" s="129" t="s">
        <v>64</v>
      </c>
      <c r="CK26" s="130" t="s">
        <v>89</v>
      </c>
      <c r="CL26" s="130" t="s">
        <v>66</v>
      </c>
      <c r="CM26" s="130" t="s">
        <v>45</v>
      </c>
      <c r="CN26" s="129" t="s">
        <v>45</v>
      </c>
      <c r="CO26" s="129" t="s">
        <v>90</v>
      </c>
    </row>
    <row r="27" spans="1:93" s="106" customFormat="1" ht="29.25" customHeight="1">
      <c r="A27" s="94">
        <f>A24+1</f>
        <v>9</v>
      </c>
      <c r="B27" s="131" t="s">
        <v>91</v>
      </c>
      <c r="C27" s="52" t="s">
        <v>92</v>
      </c>
      <c r="D27" s="52" t="s">
        <v>93</v>
      </c>
      <c r="E27" s="53" t="s">
        <v>50</v>
      </c>
      <c r="F27" s="22" t="s">
        <v>51</v>
      </c>
      <c r="G27" s="132">
        <v>1122</v>
      </c>
      <c r="H27" s="55">
        <v>16.579</v>
      </c>
      <c r="I27" s="124"/>
      <c r="J27" s="68"/>
      <c r="K27" s="126"/>
      <c r="L27" s="101"/>
      <c r="M27" s="133">
        <v>14.32</v>
      </c>
      <c r="N27" s="131">
        <v>2</v>
      </c>
      <c r="O27" s="60">
        <v>2244</v>
      </c>
      <c r="P27" s="71">
        <f>2845+1175</f>
        <v>4020</v>
      </c>
      <c r="Q27" s="134">
        <v>0</v>
      </c>
      <c r="R27" s="134" t="s">
        <v>94</v>
      </c>
      <c r="S27" s="135"/>
      <c r="T27" s="102"/>
      <c r="U27" s="103"/>
      <c r="V27" s="104"/>
      <c r="W27" s="105"/>
      <c r="X27" s="103"/>
      <c r="Y27" s="103"/>
      <c r="Z27" s="105"/>
      <c r="CH27" s="46" t="s">
        <v>52</v>
      </c>
      <c r="CI27" s="136"/>
      <c r="CJ27" s="136"/>
      <c r="CK27" s="136"/>
      <c r="CL27" s="136"/>
      <c r="CM27" s="136"/>
      <c r="CN27" s="136"/>
      <c r="CO27" s="136"/>
    </row>
    <row r="28" spans="1:93" ht="29.25" customHeight="1">
      <c r="A28" s="30">
        <f aca="true" t="shared" si="0" ref="A28:A33">A27+1</f>
        <v>10</v>
      </c>
      <c r="B28" s="66" t="s">
        <v>95</v>
      </c>
      <c r="C28" s="52" t="s">
        <v>96</v>
      </c>
      <c r="D28" s="52" t="s">
        <v>97</v>
      </c>
      <c r="E28" s="53" t="s">
        <v>50</v>
      </c>
      <c r="F28" s="22" t="s">
        <v>51</v>
      </c>
      <c r="G28" s="67">
        <v>1197</v>
      </c>
      <c r="H28" s="55">
        <v>17.353</v>
      </c>
      <c r="I28" s="68"/>
      <c r="J28" s="56"/>
      <c r="K28" s="68"/>
      <c r="L28" s="69"/>
      <c r="M28" s="137">
        <v>12.5</v>
      </c>
      <c r="N28" s="71">
        <v>2</v>
      </c>
      <c r="O28" s="60">
        <v>2394</v>
      </c>
      <c r="P28" s="59">
        <f>2276+316</f>
        <v>2592</v>
      </c>
      <c r="Q28" s="71">
        <v>0</v>
      </c>
      <c r="R28" s="71" t="s">
        <v>94</v>
      </c>
      <c r="S28" s="72"/>
      <c r="T28" s="62"/>
      <c r="U28" s="63"/>
      <c r="V28" s="64"/>
      <c r="W28" s="65"/>
      <c r="X28" s="63"/>
      <c r="Y28" s="63"/>
      <c r="Z28" s="65"/>
      <c r="CH28" s="46" t="s">
        <v>52</v>
      </c>
      <c r="CI28" s="46"/>
      <c r="CJ28" s="46"/>
      <c r="CK28" s="46"/>
      <c r="CL28" s="46"/>
      <c r="CM28" s="46"/>
      <c r="CN28" s="46"/>
      <c r="CO28" s="46"/>
    </row>
    <row r="29" spans="1:93" ht="45" customHeight="1">
      <c r="A29" s="30">
        <f t="shared" si="0"/>
        <v>11</v>
      </c>
      <c r="B29" s="110" t="s">
        <v>98</v>
      </c>
      <c r="C29" s="424" t="s">
        <v>79</v>
      </c>
      <c r="D29" s="424"/>
      <c r="E29" s="112" t="s">
        <v>50</v>
      </c>
      <c r="F29" s="98" t="s">
        <v>51</v>
      </c>
      <c r="G29" s="113">
        <v>29.5</v>
      </c>
      <c r="H29" s="114">
        <v>0.413</v>
      </c>
      <c r="I29" s="115"/>
      <c r="J29" s="116"/>
      <c r="K29" s="115"/>
      <c r="L29" s="117"/>
      <c r="M29" s="118">
        <v>14</v>
      </c>
      <c r="N29" s="119">
        <v>2</v>
      </c>
      <c r="O29" s="120">
        <v>59</v>
      </c>
      <c r="P29" s="121"/>
      <c r="Q29" s="119"/>
      <c r="R29" s="119"/>
      <c r="S29" s="122">
        <v>0.413</v>
      </c>
      <c r="T29" s="62"/>
      <c r="U29" s="63"/>
      <c r="V29" s="64"/>
      <c r="W29" s="65"/>
      <c r="X29" s="63"/>
      <c r="Y29" s="63"/>
      <c r="Z29" s="65"/>
      <c r="CH29" s="46" t="s">
        <v>52</v>
      </c>
      <c r="CI29" s="46"/>
      <c r="CJ29" s="46"/>
      <c r="CK29" s="46"/>
      <c r="CL29" s="46"/>
      <c r="CM29" s="46"/>
      <c r="CN29" s="46"/>
      <c r="CO29" s="46"/>
    </row>
    <row r="30" spans="1:93" ht="29.25" customHeight="1">
      <c r="A30" s="30">
        <f t="shared" si="0"/>
        <v>12</v>
      </c>
      <c r="B30" s="66" t="s">
        <v>99</v>
      </c>
      <c r="C30" s="52" t="s">
        <v>100</v>
      </c>
      <c r="D30" s="52" t="s">
        <v>101</v>
      </c>
      <c r="E30" s="53" t="s">
        <v>50</v>
      </c>
      <c r="F30" s="22" t="s">
        <v>51</v>
      </c>
      <c r="G30" s="67">
        <v>108</v>
      </c>
      <c r="H30" s="55">
        <v>1.453</v>
      </c>
      <c r="I30" s="68"/>
      <c r="J30" s="68">
        <v>0.161</v>
      </c>
      <c r="K30" s="68"/>
      <c r="L30" s="69"/>
      <c r="M30" s="109">
        <v>12.05</v>
      </c>
      <c r="N30" s="71">
        <v>2</v>
      </c>
      <c r="O30" s="60">
        <v>216</v>
      </c>
      <c r="P30" s="59">
        <f>301</f>
        <v>301</v>
      </c>
      <c r="Q30" s="71">
        <v>0</v>
      </c>
      <c r="R30" s="71" t="s">
        <v>61</v>
      </c>
      <c r="S30" s="72"/>
      <c r="T30" s="62"/>
      <c r="U30" s="63"/>
      <c r="V30" s="64"/>
      <c r="W30" s="65"/>
      <c r="X30" s="63"/>
      <c r="Y30" s="63"/>
      <c r="Z30" s="65"/>
      <c r="CH30" s="46" t="s">
        <v>52</v>
      </c>
      <c r="CI30" s="46"/>
      <c r="CJ30" s="46"/>
      <c r="CK30" s="46"/>
      <c r="CL30" s="46"/>
      <c r="CM30" s="46"/>
      <c r="CN30" s="46"/>
      <c r="CO30" s="46"/>
    </row>
    <row r="31" spans="1:93" ht="29.25" customHeight="1">
      <c r="A31" s="30">
        <f t="shared" si="0"/>
        <v>13</v>
      </c>
      <c r="B31" s="66" t="s">
        <v>102</v>
      </c>
      <c r="C31" s="52" t="s">
        <v>59</v>
      </c>
      <c r="D31" s="52" t="s">
        <v>103</v>
      </c>
      <c r="E31" s="53" t="s">
        <v>50</v>
      </c>
      <c r="F31" s="22" t="s">
        <v>51</v>
      </c>
      <c r="G31" s="67">
        <v>1080</v>
      </c>
      <c r="H31" s="55">
        <v>14.421</v>
      </c>
      <c r="I31" s="68"/>
      <c r="J31" s="56"/>
      <c r="K31" s="68"/>
      <c r="L31" s="69"/>
      <c r="M31" s="71">
        <v>14.48</v>
      </c>
      <c r="N31" s="71">
        <v>2</v>
      </c>
      <c r="O31" s="60">
        <v>2160</v>
      </c>
      <c r="P31" s="59">
        <f>2052+1390</f>
        <v>3442</v>
      </c>
      <c r="Q31" s="71">
        <v>0</v>
      </c>
      <c r="R31" s="71"/>
      <c r="S31" s="72">
        <v>14.421</v>
      </c>
      <c r="T31" s="62"/>
      <c r="U31" s="63"/>
      <c r="V31" s="64"/>
      <c r="W31" s="65"/>
      <c r="X31" s="63"/>
      <c r="Y31" s="63"/>
      <c r="Z31" s="65"/>
      <c r="CH31" s="46" t="s">
        <v>52</v>
      </c>
      <c r="CI31" s="46"/>
      <c r="CJ31" s="46"/>
      <c r="CK31" s="46"/>
      <c r="CL31" s="46"/>
      <c r="CM31" s="46"/>
      <c r="CN31" s="46"/>
      <c r="CO31" s="46"/>
    </row>
    <row r="32" spans="1:93" s="106" customFormat="1" ht="39.75" customHeight="1">
      <c r="A32" s="94">
        <f t="shared" si="0"/>
        <v>14</v>
      </c>
      <c r="B32" s="66" t="s">
        <v>104</v>
      </c>
      <c r="C32" s="52" t="s">
        <v>105</v>
      </c>
      <c r="D32" s="52" t="s">
        <v>106</v>
      </c>
      <c r="E32" s="53" t="s">
        <v>50</v>
      </c>
      <c r="F32" s="22" t="s">
        <v>51</v>
      </c>
      <c r="G32" s="67">
        <v>3563</v>
      </c>
      <c r="H32" s="55">
        <v>72.42</v>
      </c>
      <c r="I32" s="68"/>
      <c r="J32" s="56"/>
      <c r="K32" s="68"/>
      <c r="L32" s="69"/>
      <c r="M32" s="109">
        <v>20.33</v>
      </c>
      <c r="N32" s="71">
        <v>2</v>
      </c>
      <c r="O32" s="60">
        <v>7126</v>
      </c>
      <c r="P32" s="59">
        <f>8342</f>
        <v>8342</v>
      </c>
      <c r="Q32" s="71">
        <v>275</v>
      </c>
      <c r="R32" s="71" t="s">
        <v>77</v>
      </c>
      <c r="S32" s="72">
        <v>72.42</v>
      </c>
      <c r="T32" s="102"/>
      <c r="U32" s="103"/>
      <c r="V32" s="104"/>
      <c r="W32" s="105"/>
      <c r="X32" s="103"/>
      <c r="Y32" s="103"/>
      <c r="Z32" s="105"/>
      <c r="CH32" s="46" t="s">
        <v>52</v>
      </c>
      <c r="CI32" s="136"/>
      <c r="CJ32" s="136"/>
      <c r="CK32" s="136"/>
      <c r="CL32" s="136"/>
      <c r="CM32" s="136"/>
      <c r="CN32" s="136"/>
      <c r="CO32" s="136"/>
    </row>
    <row r="33" spans="1:93" ht="29.25" customHeight="1">
      <c r="A33" s="30">
        <f t="shared" si="0"/>
        <v>15</v>
      </c>
      <c r="B33" s="110" t="s">
        <v>107</v>
      </c>
      <c r="C33" s="424" t="s">
        <v>108</v>
      </c>
      <c r="D33" s="424"/>
      <c r="E33" s="112" t="s">
        <v>50</v>
      </c>
      <c r="F33" s="98" t="s">
        <v>51</v>
      </c>
      <c r="G33" s="113">
        <v>682</v>
      </c>
      <c r="H33" s="114">
        <v>16.71</v>
      </c>
      <c r="I33" s="115"/>
      <c r="J33" s="116"/>
      <c r="K33" s="115"/>
      <c r="L33" s="117"/>
      <c r="M33" s="119">
        <v>24.5</v>
      </c>
      <c r="N33" s="119">
        <v>2</v>
      </c>
      <c r="O33" s="120">
        <v>1364</v>
      </c>
      <c r="P33" s="121">
        <v>0</v>
      </c>
      <c r="Q33" s="119">
        <v>0</v>
      </c>
      <c r="R33" s="119" t="s">
        <v>61</v>
      </c>
      <c r="S33" s="122"/>
      <c r="T33" s="62"/>
      <c r="U33" s="63"/>
      <c r="V33" s="64"/>
      <c r="W33" s="65"/>
      <c r="X33" s="63"/>
      <c r="Y33" s="63"/>
      <c r="Z33" s="65"/>
      <c r="CH33" s="46" t="s">
        <v>52</v>
      </c>
      <c r="CI33" s="46"/>
      <c r="CJ33" s="46"/>
      <c r="CK33" s="46"/>
      <c r="CL33" s="46"/>
      <c r="CM33" s="46"/>
      <c r="CN33" s="46"/>
      <c r="CO33" s="46"/>
    </row>
    <row r="34" spans="1:93" ht="29.25" customHeight="1">
      <c r="A34" s="30"/>
      <c r="B34" s="66" t="s">
        <v>109</v>
      </c>
      <c r="C34" s="52" t="s">
        <v>110</v>
      </c>
      <c r="D34" s="52" t="s">
        <v>111</v>
      </c>
      <c r="E34" s="112"/>
      <c r="F34" s="98"/>
      <c r="G34" s="113"/>
      <c r="H34" s="114"/>
      <c r="I34" s="115"/>
      <c r="J34" s="116"/>
      <c r="K34" s="115"/>
      <c r="L34" s="117"/>
      <c r="M34" s="119"/>
      <c r="N34" s="119"/>
      <c r="O34" s="120"/>
      <c r="P34" s="121"/>
      <c r="Q34" s="119"/>
      <c r="R34" s="119"/>
      <c r="S34" s="122"/>
      <c r="T34" s="62"/>
      <c r="U34" s="63"/>
      <c r="V34" s="64"/>
      <c r="W34" s="65"/>
      <c r="X34" s="63"/>
      <c r="Y34" s="63"/>
      <c r="Z34" s="65"/>
      <c r="CH34" s="46" t="s">
        <v>42</v>
      </c>
      <c r="CI34" s="95" t="s">
        <v>112</v>
      </c>
      <c r="CJ34" s="46" t="s">
        <v>113</v>
      </c>
      <c r="CK34" s="46" t="s">
        <v>75</v>
      </c>
      <c r="CL34" s="97" t="s">
        <v>66</v>
      </c>
      <c r="CM34" s="46" t="s">
        <v>67</v>
      </c>
      <c r="CN34" s="46" t="s">
        <v>45</v>
      </c>
      <c r="CO34" s="46" t="s">
        <v>42</v>
      </c>
    </row>
    <row r="35" spans="1:93" ht="39" customHeight="1">
      <c r="A35" s="30">
        <f>A33+1</f>
        <v>16</v>
      </c>
      <c r="B35" s="138" t="s">
        <v>109</v>
      </c>
      <c r="C35" s="52" t="s">
        <v>110</v>
      </c>
      <c r="D35" s="52" t="s">
        <v>111</v>
      </c>
      <c r="E35" s="53" t="s">
        <v>50</v>
      </c>
      <c r="F35" s="22" t="s">
        <v>51</v>
      </c>
      <c r="G35" s="67">
        <v>679</v>
      </c>
      <c r="H35" s="55">
        <v>12.566</v>
      </c>
      <c r="I35" s="68"/>
      <c r="J35" s="56"/>
      <c r="K35" s="68"/>
      <c r="L35" s="69"/>
      <c r="M35" s="109">
        <v>19</v>
      </c>
      <c r="N35" s="71">
        <v>2</v>
      </c>
      <c r="O35" s="60">
        <v>1358</v>
      </c>
      <c r="P35" s="59">
        <f>1293+96</f>
        <v>1389</v>
      </c>
      <c r="Q35" s="71">
        <v>993.5</v>
      </c>
      <c r="R35" s="71" t="s">
        <v>114</v>
      </c>
      <c r="S35" s="72">
        <v>12.566</v>
      </c>
      <c r="T35" s="62"/>
      <c r="U35" s="63"/>
      <c r="V35" s="64"/>
      <c r="W35" s="65"/>
      <c r="X35" s="63"/>
      <c r="Y35" s="63"/>
      <c r="Z35" s="65"/>
      <c r="CH35" s="95" t="s">
        <v>62</v>
      </c>
      <c r="CI35" s="95" t="s">
        <v>112</v>
      </c>
      <c r="CJ35" s="107" t="s">
        <v>64</v>
      </c>
      <c r="CK35" s="97" t="s">
        <v>72</v>
      </c>
      <c r="CL35" s="97" t="s">
        <v>66</v>
      </c>
      <c r="CM35" s="97" t="s">
        <v>67</v>
      </c>
      <c r="CN35" s="96" t="s">
        <v>45</v>
      </c>
      <c r="CO35" s="96"/>
    </row>
    <row r="36" spans="1:93" s="106" customFormat="1" ht="29.25" customHeight="1">
      <c r="A36" s="94">
        <f aca="true" t="shared" si="1" ref="A36:A41">A35+1</f>
        <v>17</v>
      </c>
      <c r="B36" s="66" t="s">
        <v>69</v>
      </c>
      <c r="C36" s="417" t="s">
        <v>115</v>
      </c>
      <c r="D36" s="417"/>
      <c r="E36" s="53" t="s">
        <v>50</v>
      </c>
      <c r="F36" s="22" t="s">
        <v>51</v>
      </c>
      <c r="G36" s="67">
        <v>111</v>
      </c>
      <c r="H36" s="55">
        <v>4.038</v>
      </c>
      <c r="I36" s="68"/>
      <c r="J36" s="56"/>
      <c r="K36" s="68"/>
      <c r="L36" s="69"/>
      <c r="M36" s="109">
        <v>36.38</v>
      </c>
      <c r="N36" s="71">
        <v>2</v>
      </c>
      <c r="O36" s="60">
        <v>187</v>
      </c>
      <c r="P36" s="59">
        <f>187</f>
        <v>187</v>
      </c>
      <c r="Q36" s="71">
        <v>0</v>
      </c>
      <c r="R36" s="71" t="s">
        <v>61</v>
      </c>
      <c r="S36" s="72">
        <v>4.038</v>
      </c>
      <c r="T36" s="102"/>
      <c r="U36" s="103"/>
      <c r="V36" s="104"/>
      <c r="W36" s="105"/>
      <c r="X36" s="103"/>
      <c r="Y36" s="103"/>
      <c r="Z36" s="105"/>
      <c r="CH36" s="46" t="s">
        <v>52</v>
      </c>
      <c r="CI36" s="136"/>
      <c r="CJ36" s="136"/>
      <c r="CK36" s="136"/>
      <c r="CL36" s="136"/>
      <c r="CM36" s="136"/>
      <c r="CN36" s="136"/>
      <c r="CO36" s="136"/>
    </row>
    <row r="37" spans="1:93" ht="29.25" customHeight="1">
      <c r="A37" s="30">
        <f t="shared" si="1"/>
        <v>18</v>
      </c>
      <c r="B37" s="110" t="s">
        <v>116</v>
      </c>
      <c r="C37" s="111" t="s">
        <v>117</v>
      </c>
      <c r="D37" s="111" t="s">
        <v>118</v>
      </c>
      <c r="E37" s="112" t="s">
        <v>50</v>
      </c>
      <c r="F37" s="98" t="s">
        <v>51</v>
      </c>
      <c r="G37" s="113">
        <v>50</v>
      </c>
      <c r="H37" s="114">
        <v>0.749</v>
      </c>
      <c r="I37" s="115"/>
      <c r="J37" s="139"/>
      <c r="K37" s="115"/>
      <c r="L37" s="117"/>
      <c r="M37" s="119">
        <v>15</v>
      </c>
      <c r="N37" s="119">
        <v>2</v>
      </c>
      <c r="O37" s="120">
        <v>100</v>
      </c>
      <c r="P37" s="121">
        <v>0</v>
      </c>
      <c r="Q37" s="119">
        <v>0</v>
      </c>
      <c r="R37" s="119" t="s">
        <v>119</v>
      </c>
      <c r="S37" s="122"/>
      <c r="T37" s="62"/>
      <c r="U37" s="63"/>
      <c r="V37" s="64"/>
      <c r="W37" s="65"/>
      <c r="X37" s="63"/>
      <c r="Y37" s="63"/>
      <c r="Z37" s="65"/>
      <c r="CH37" s="46" t="s">
        <v>52</v>
      </c>
      <c r="CI37" s="46"/>
      <c r="CJ37" s="46"/>
      <c r="CK37" s="46"/>
      <c r="CL37" s="46"/>
      <c r="CM37" s="46"/>
      <c r="CN37" s="46"/>
      <c r="CO37" s="46"/>
    </row>
    <row r="38" spans="1:93" s="106" customFormat="1" ht="29.25" customHeight="1">
      <c r="A38" s="94">
        <f t="shared" si="1"/>
        <v>19</v>
      </c>
      <c r="B38" s="131" t="s">
        <v>120</v>
      </c>
      <c r="C38" s="52" t="s">
        <v>55</v>
      </c>
      <c r="D38" s="52" t="s">
        <v>121</v>
      </c>
      <c r="E38" s="53" t="s">
        <v>50</v>
      </c>
      <c r="F38" s="22" t="s">
        <v>51</v>
      </c>
      <c r="G38" s="132">
        <v>1079</v>
      </c>
      <c r="H38" s="55">
        <v>29.804</v>
      </c>
      <c r="I38" s="124"/>
      <c r="J38" s="68">
        <v>1.483</v>
      </c>
      <c r="K38" s="126"/>
      <c r="L38" s="101"/>
      <c r="M38" s="134">
        <v>26.43</v>
      </c>
      <c r="N38" s="131">
        <v>2</v>
      </c>
      <c r="O38" s="60">
        <v>2158</v>
      </c>
      <c r="P38" s="71">
        <f>2524+384</f>
        <v>2908</v>
      </c>
      <c r="Q38" s="134">
        <v>0</v>
      </c>
      <c r="R38" s="134" t="s">
        <v>122</v>
      </c>
      <c r="S38" s="135"/>
      <c r="T38" s="102"/>
      <c r="U38" s="103"/>
      <c r="V38" s="104"/>
      <c r="W38" s="105"/>
      <c r="X38" s="103"/>
      <c r="Y38" s="103"/>
      <c r="Z38" s="105"/>
      <c r="CH38" s="46" t="s">
        <v>52</v>
      </c>
      <c r="CI38" s="136"/>
      <c r="CJ38" s="136"/>
      <c r="CK38" s="136"/>
      <c r="CL38" s="136"/>
      <c r="CM38" s="136"/>
      <c r="CN38" s="136"/>
      <c r="CO38" s="136"/>
    </row>
    <row r="39" spans="1:93" ht="39" customHeight="1">
      <c r="A39" s="30">
        <f t="shared" si="1"/>
        <v>20</v>
      </c>
      <c r="B39" s="110" t="s">
        <v>123</v>
      </c>
      <c r="C39" s="424" t="s">
        <v>124</v>
      </c>
      <c r="D39" s="424"/>
      <c r="E39" s="112" t="s">
        <v>50</v>
      </c>
      <c r="F39" s="98" t="s">
        <v>51</v>
      </c>
      <c r="G39" s="113">
        <v>27.7</v>
      </c>
      <c r="H39" s="114">
        <v>0.387</v>
      </c>
      <c r="I39" s="115"/>
      <c r="J39" s="116"/>
      <c r="K39" s="115"/>
      <c r="L39" s="117"/>
      <c r="M39" s="118">
        <v>14</v>
      </c>
      <c r="N39" s="119">
        <v>2</v>
      </c>
      <c r="O39" s="120">
        <v>55</v>
      </c>
      <c r="P39" s="121"/>
      <c r="Q39" s="119"/>
      <c r="R39" s="119"/>
      <c r="S39" s="122"/>
      <c r="T39" s="62"/>
      <c r="U39" s="63"/>
      <c r="V39" s="64"/>
      <c r="W39" s="65"/>
      <c r="X39" s="63"/>
      <c r="Y39" s="63"/>
      <c r="Z39" s="65"/>
      <c r="CH39" s="46" t="s">
        <v>52</v>
      </c>
      <c r="CI39" s="46"/>
      <c r="CJ39" s="46"/>
      <c r="CK39" s="46"/>
      <c r="CL39" s="46"/>
      <c r="CM39" s="46"/>
      <c r="CN39" s="46"/>
      <c r="CO39" s="46"/>
    </row>
    <row r="40" spans="1:93" ht="42" customHeight="1">
      <c r="A40" s="30">
        <f t="shared" si="1"/>
        <v>21</v>
      </c>
      <c r="B40" s="66" t="s">
        <v>125</v>
      </c>
      <c r="C40" s="52" t="s">
        <v>101</v>
      </c>
      <c r="D40" s="52" t="s">
        <v>81</v>
      </c>
      <c r="E40" s="53" t="s">
        <v>50</v>
      </c>
      <c r="F40" s="22" t="s">
        <v>51</v>
      </c>
      <c r="G40" s="67">
        <v>478</v>
      </c>
      <c r="H40" s="55">
        <v>13.746</v>
      </c>
      <c r="I40" s="68"/>
      <c r="J40" s="56"/>
      <c r="K40" s="68"/>
      <c r="L40" s="69"/>
      <c r="M40" s="71">
        <v>19.7</v>
      </c>
      <c r="N40" s="71">
        <v>2</v>
      </c>
      <c r="O40" s="60">
        <v>1332</v>
      </c>
      <c r="P40" s="59">
        <f>2166+214</f>
        <v>2380</v>
      </c>
      <c r="Q40" s="71"/>
      <c r="R40" s="71" t="s">
        <v>61</v>
      </c>
      <c r="S40" s="72">
        <v>13.746</v>
      </c>
      <c r="T40" s="62"/>
      <c r="U40" s="63"/>
      <c r="V40" s="64"/>
      <c r="W40" s="65"/>
      <c r="X40" s="63"/>
      <c r="Y40" s="63"/>
      <c r="Z40" s="65"/>
      <c r="CH40" s="46" t="s">
        <v>52</v>
      </c>
      <c r="CI40" s="46"/>
      <c r="CJ40" s="46"/>
      <c r="CK40" s="46"/>
      <c r="CL40" s="46"/>
      <c r="CM40" s="46"/>
      <c r="CN40" s="46"/>
      <c r="CO40" s="46"/>
    </row>
    <row r="41" spans="1:93" ht="28.5" customHeight="1">
      <c r="A41" s="408">
        <f t="shared" si="1"/>
        <v>22</v>
      </c>
      <c r="B41" s="417" t="s">
        <v>126</v>
      </c>
      <c r="C41" s="417" t="s">
        <v>127</v>
      </c>
      <c r="D41" s="417" t="s">
        <v>128</v>
      </c>
      <c r="E41" s="53" t="s">
        <v>50</v>
      </c>
      <c r="F41" s="22" t="s">
        <v>51</v>
      </c>
      <c r="G41" s="67">
        <v>188</v>
      </c>
      <c r="H41" s="55">
        <v>2.829</v>
      </c>
      <c r="I41" s="68"/>
      <c r="J41" s="56">
        <v>0.357</v>
      </c>
      <c r="K41" s="68"/>
      <c r="L41" s="69"/>
      <c r="M41" s="67">
        <v>12.79</v>
      </c>
      <c r="N41" s="408">
        <v>2</v>
      </c>
      <c r="O41" s="426">
        <v>376</v>
      </c>
      <c r="P41" s="59">
        <f>520+51</f>
        <v>571</v>
      </c>
      <c r="Q41" s="408">
        <v>0</v>
      </c>
      <c r="R41" s="408" t="s">
        <v>61</v>
      </c>
      <c r="S41" s="423"/>
      <c r="T41" s="62"/>
      <c r="U41" s="63"/>
      <c r="V41" s="64"/>
      <c r="W41" s="65"/>
      <c r="X41" s="63"/>
      <c r="Y41" s="65"/>
      <c r="Z41" s="65"/>
      <c r="CH41" s="128" t="s">
        <v>62</v>
      </c>
      <c r="CI41" s="95" t="s">
        <v>129</v>
      </c>
      <c r="CJ41" s="129" t="s">
        <v>64</v>
      </c>
      <c r="CK41" s="130" t="s">
        <v>130</v>
      </c>
      <c r="CL41" s="130" t="s">
        <v>66</v>
      </c>
      <c r="CM41" s="130" t="s">
        <v>67</v>
      </c>
      <c r="CN41" s="129" t="s">
        <v>67</v>
      </c>
      <c r="CO41" s="129"/>
    </row>
    <row r="42" spans="1:93" ht="28.5" customHeight="1">
      <c r="A42" s="408"/>
      <c r="B42" s="417"/>
      <c r="C42" s="417"/>
      <c r="D42" s="417"/>
      <c r="E42" s="53"/>
      <c r="F42" s="22"/>
      <c r="G42" s="67"/>
      <c r="H42" s="55"/>
      <c r="I42" s="68"/>
      <c r="J42" s="56"/>
      <c r="K42" s="68"/>
      <c r="L42" s="69"/>
      <c r="M42" s="67"/>
      <c r="N42" s="408"/>
      <c r="O42" s="426"/>
      <c r="P42" s="59"/>
      <c r="Q42" s="408"/>
      <c r="R42" s="408"/>
      <c r="S42" s="423"/>
      <c r="T42" s="62"/>
      <c r="U42" s="63"/>
      <c r="V42" s="64"/>
      <c r="W42" s="65"/>
      <c r="X42" s="63"/>
      <c r="Y42" s="65"/>
      <c r="Z42" s="65"/>
      <c r="CH42" s="128" t="s">
        <v>62</v>
      </c>
      <c r="CI42" s="95" t="s">
        <v>131</v>
      </c>
      <c r="CJ42" s="129" t="s">
        <v>71</v>
      </c>
      <c r="CK42" s="130" t="s">
        <v>130</v>
      </c>
      <c r="CL42" s="130" t="s">
        <v>66</v>
      </c>
      <c r="CM42" s="130" t="s">
        <v>67</v>
      </c>
      <c r="CN42" s="129" t="s">
        <v>67</v>
      </c>
      <c r="CO42" s="129"/>
    </row>
    <row r="43" spans="1:93" ht="38.25" customHeight="1">
      <c r="A43" s="30">
        <f>A41+1</f>
        <v>23</v>
      </c>
      <c r="B43" s="66" t="s">
        <v>132</v>
      </c>
      <c r="C43" s="52" t="s">
        <v>93</v>
      </c>
      <c r="D43" s="52" t="s">
        <v>48</v>
      </c>
      <c r="E43" s="53" t="s">
        <v>50</v>
      </c>
      <c r="F43" s="22" t="s">
        <v>51</v>
      </c>
      <c r="G43" s="67">
        <v>320</v>
      </c>
      <c r="H43" s="55">
        <v>6.492</v>
      </c>
      <c r="I43" s="68"/>
      <c r="J43" s="56"/>
      <c r="K43" s="68"/>
      <c r="L43" s="69"/>
      <c r="M43" s="67">
        <v>20.76</v>
      </c>
      <c r="N43" s="71">
        <v>2</v>
      </c>
      <c r="O43" s="60">
        <v>640</v>
      </c>
      <c r="P43" s="59">
        <f>623+47</f>
        <v>670</v>
      </c>
      <c r="Q43" s="71">
        <v>0</v>
      </c>
      <c r="R43" s="71" t="s">
        <v>51</v>
      </c>
      <c r="S43" s="72"/>
      <c r="T43" s="62"/>
      <c r="U43" s="63"/>
      <c r="V43" s="64"/>
      <c r="W43" s="65"/>
      <c r="X43" s="63"/>
      <c r="Y43" s="63"/>
      <c r="Z43" s="65"/>
      <c r="CH43" s="46" t="s">
        <v>52</v>
      </c>
      <c r="CI43" s="46"/>
      <c r="CJ43" s="46"/>
      <c r="CK43" s="46"/>
      <c r="CL43" s="46"/>
      <c r="CM43" s="46"/>
      <c r="CN43" s="46"/>
      <c r="CO43" s="46"/>
    </row>
    <row r="44" spans="1:93" ht="29.25" customHeight="1">
      <c r="A44" s="30">
        <f aca="true" t="shared" si="2" ref="A44:A54">A43+1</f>
        <v>24</v>
      </c>
      <c r="B44" s="66" t="s">
        <v>133</v>
      </c>
      <c r="C44" s="52" t="s">
        <v>134</v>
      </c>
      <c r="D44" s="52" t="s">
        <v>135</v>
      </c>
      <c r="E44" s="53" t="s">
        <v>50</v>
      </c>
      <c r="F44" s="22" t="s">
        <v>51</v>
      </c>
      <c r="G44" s="67">
        <v>1060</v>
      </c>
      <c r="H44" s="55">
        <v>13.632</v>
      </c>
      <c r="I44" s="68"/>
      <c r="J44" s="57">
        <v>0.457</v>
      </c>
      <c r="K44" s="68"/>
      <c r="L44" s="69"/>
      <c r="M44" s="71">
        <v>11.3</v>
      </c>
      <c r="N44" s="71">
        <v>2</v>
      </c>
      <c r="O44" s="60">
        <v>2120</v>
      </c>
      <c r="P44" s="59">
        <f>1873+634</f>
        <v>2507</v>
      </c>
      <c r="Q44" s="71">
        <v>857.4</v>
      </c>
      <c r="R44" s="71" t="s">
        <v>114</v>
      </c>
      <c r="S44" s="72"/>
      <c r="T44" s="62"/>
      <c r="U44" s="63"/>
      <c r="V44" s="64"/>
      <c r="W44" s="65"/>
      <c r="X44" s="63"/>
      <c r="Y44" s="63"/>
      <c r="Z44" s="65"/>
      <c r="CH44" s="46" t="s">
        <v>42</v>
      </c>
      <c r="CI44" s="52" t="s">
        <v>136</v>
      </c>
      <c r="CJ44" s="46" t="s">
        <v>137</v>
      </c>
      <c r="CK44" s="46" t="s">
        <v>72</v>
      </c>
      <c r="CL44" s="46" t="s">
        <v>44</v>
      </c>
      <c r="CM44" s="46" t="s">
        <v>45</v>
      </c>
      <c r="CN44" s="46" t="s">
        <v>45</v>
      </c>
      <c r="CO44" s="46" t="s">
        <v>42</v>
      </c>
    </row>
    <row r="45" spans="1:93" ht="29.25" customHeight="1">
      <c r="A45" s="30">
        <f t="shared" si="2"/>
        <v>25</v>
      </c>
      <c r="B45" s="66" t="s">
        <v>138</v>
      </c>
      <c r="C45" s="52" t="s">
        <v>139</v>
      </c>
      <c r="D45" s="52" t="s">
        <v>59</v>
      </c>
      <c r="E45" s="53" t="s">
        <v>50</v>
      </c>
      <c r="F45" s="22" t="s">
        <v>51</v>
      </c>
      <c r="G45" s="67">
        <v>1711</v>
      </c>
      <c r="H45" s="55">
        <v>26.858</v>
      </c>
      <c r="I45" s="68"/>
      <c r="J45" s="56"/>
      <c r="K45" s="68"/>
      <c r="L45" s="69"/>
      <c r="M45" s="71">
        <v>15.04</v>
      </c>
      <c r="N45" s="71">
        <v>2</v>
      </c>
      <c r="O45" s="60">
        <v>3422</v>
      </c>
      <c r="P45" s="59">
        <f>3383+653</f>
        <v>4036</v>
      </c>
      <c r="Q45" s="71">
        <v>194.4</v>
      </c>
      <c r="R45" s="71" t="s">
        <v>140</v>
      </c>
      <c r="S45" s="72"/>
      <c r="T45" s="62"/>
      <c r="U45" s="63"/>
      <c r="V45" s="64"/>
      <c r="W45" s="65"/>
      <c r="X45" s="63"/>
      <c r="Y45" s="63"/>
      <c r="Z45" s="65"/>
      <c r="CH45" s="46" t="s">
        <v>52</v>
      </c>
      <c r="CI45" s="46"/>
      <c r="CJ45" s="46"/>
      <c r="CK45" s="46"/>
      <c r="CL45" s="46"/>
      <c r="CM45" s="46"/>
      <c r="CN45" s="46"/>
      <c r="CO45" s="46"/>
    </row>
    <row r="46" spans="1:93" ht="29.25" customHeight="1">
      <c r="A46" s="30">
        <f t="shared" si="2"/>
        <v>26</v>
      </c>
      <c r="B46" s="66" t="s">
        <v>141</v>
      </c>
      <c r="C46" s="52" t="s">
        <v>110</v>
      </c>
      <c r="D46" s="52" t="s">
        <v>111</v>
      </c>
      <c r="E46" s="53" t="s">
        <v>50</v>
      </c>
      <c r="F46" s="22" t="s">
        <v>51</v>
      </c>
      <c r="G46" s="67">
        <v>801</v>
      </c>
      <c r="H46" s="55">
        <v>17.743</v>
      </c>
      <c r="I46" s="140">
        <v>2.371</v>
      </c>
      <c r="J46" s="56"/>
      <c r="K46" s="68"/>
      <c r="L46" s="69"/>
      <c r="M46" s="71">
        <v>22.15</v>
      </c>
      <c r="N46" s="71">
        <v>2</v>
      </c>
      <c r="O46" s="60">
        <v>1602</v>
      </c>
      <c r="P46" s="59">
        <f>516+1879</f>
        <v>2395</v>
      </c>
      <c r="Q46" s="71">
        <v>0</v>
      </c>
      <c r="R46" s="71"/>
      <c r="S46" s="72">
        <v>15.372</v>
      </c>
      <c r="T46" s="62"/>
      <c r="U46" s="63"/>
      <c r="V46" s="64"/>
      <c r="W46" s="65"/>
      <c r="X46" s="63"/>
      <c r="Y46" s="63"/>
      <c r="Z46" s="65"/>
      <c r="CH46" s="46" t="s">
        <v>52</v>
      </c>
      <c r="CI46" s="46"/>
      <c r="CJ46" s="46"/>
      <c r="CK46" s="46"/>
      <c r="CL46" s="46"/>
      <c r="CM46" s="46"/>
      <c r="CN46" s="46"/>
      <c r="CO46" s="46"/>
    </row>
    <row r="47" spans="1:93" ht="29.25" customHeight="1">
      <c r="A47" s="30">
        <f t="shared" si="2"/>
        <v>27</v>
      </c>
      <c r="B47" s="66" t="s">
        <v>142</v>
      </c>
      <c r="C47" s="52" t="s">
        <v>143</v>
      </c>
      <c r="D47" s="52" t="s">
        <v>144</v>
      </c>
      <c r="E47" s="53" t="s">
        <v>50</v>
      </c>
      <c r="F47" s="22" t="s">
        <v>51</v>
      </c>
      <c r="G47" s="67">
        <v>1520</v>
      </c>
      <c r="H47" s="55">
        <v>33.223</v>
      </c>
      <c r="I47" s="68"/>
      <c r="J47" s="56">
        <v>1.841</v>
      </c>
      <c r="K47" s="68"/>
      <c r="L47" s="69"/>
      <c r="M47" s="71">
        <v>20.7</v>
      </c>
      <c r="N47" s="71">
        <v>2</v>
      </c>
      <c r="O47" s="60">
        <v>3040</v>
      </c>
      <c r="P47" s="59">
        <f>3888</f>
        <v>3888</v>
      </c>
      <c r="Q47" s="71">
        <v>0</v>
      </c>
      <c r="R47" s="71"/>
      <c r="S47" s="72">
        <v>31.382</v>
      </c>
      <c r="T47" s="62"/>
      <c r="U47" s="63"/>
      <c r="V47" s="64"/>
      <c r="W47" s="65"/>
      <c r="X47" s="63"/>
      <c r="Y47" s="63"/>
      <c r="Z47" s="65"/>
      <c r="CH47" s="46" t="s">
        <v>52</v>
      </c>
      <c r="CI47" s="46"/>
      <c r="CJ47" s="46"/>
      <c r="CK47" s="46"/>
      <c r="CL47" s="46"/>
      <c r="CM47" s="46"/>
      <c r="CN47" s="46"/>
      <c r="CO47" s="46"/>
    </row>
    <row r="48" spans="1:93" ht="29.25" customHeight="1">
      <c r="A48" s="30">
        <f t="shared" si="2"/>
        <v>28</v>
      </c>
      <c r="B48" s="66" t="s">
        <v>145</v>
      </c>
      <c r="C48" s="52" t="s">
        <v>146</v>
      </c>
      <c r="D48" s="52" t="s">
        <v>147</v>
      </c>
      <c r="E48" s="53" t="s">
        <v>50</v>
      </c>
      <c r="F48" s="22" t="s">
        <v>51</v>
      </c>
      <c r="G48" s="67">
        <v>216</v>
      </c>
      <c r="H48" s="55">
        <v>3.779</v>
      </c>
      <c r="I48" s="68"/>
      <c r="J48" s="56">
        <v>0.059</v>
      </c>
      <c r="K48" s="68"/>
      <c r="L48" s="69"/>
      <c r="M48" s="71">
        <v>16.6</v>
      </c>
      <c r="N48" s="71">
        <v>2</v>
      </c>
      <c r="O48" s="60">
        <v>432</v>
      </c>
      <c r="P48" s="59">
        <f>126+378</f>
        <v>504</v>
      </c>
      <c r="Q48" s="71">
        <v>219</v>
      </c>
      <c r="R48" s="71" t="s">
        <v>114</v>
      </c>
      <c r="S48" s="72"/>
      <c r="T48" s="62"/>
      <c r="U48" s="63"/>
      <c r="V48" s="64"/>
      <c r="W48" s="65"/>
      <c r="X48" s="63"/>
      <c r="Y48" s="63"/>
      <c r="Z48" s="65"/>
      <c r="CH48" s="46" t="s">
        <v>52</v>
      </c>
      <c r="CI48" s="46"/>
      <c r="CJ48" s="46"/>
      <c r="CK48" s="46"/>
      <c r="CL48" s="46"/>
      <c r="CM48" s="46"/>
      <c r="CN48" s="46"/>
      <c r="CO48" s="46"/>
    </row>
    <row r="49" spans="1:93" s="106" customFormat="1" ht="29.25" customHeight="1">
      <c r="A49" s="94">
        <f t="shared" si="2"/>
        <v>29</v>
      </c>
      <c r="B49" s="110" t="s">
        <v>148</v>
      </c>
      <c r="C49" s="424" t="s">
        <v>149</v>
      </c>
      <c r="D49" s="424"/>
      <c r="E49" s="112" t="s">
        <v>50</v>
      </c>
      <c r="F49" s="98" t="s">
        <v>51</v>
      </c>
      <c r="G49" s="113">
        <v>20</v>
      </c>
      <c r="H49" s="114">
        <v>0.319</v>
      </c>
      <c r="I49" s="115"/>
      <c r="J49" s="116"/>
      <c r="K49" s="115"/>
      <c r="L49" s="117"/>
      <c r="M49" s="119">
        <v>16</v>
      </c>
      <c r="N49" s="119">
        <v>2</v>
      </c>
      <c r="O49" s="120">
        <v>40</v>
      </c>
      <c r="P49" s="121">
        <v>0</v>
      </c>
      <c r="Q49" s="119">
        <v>0</v>
      </c>
      <c r="R49" s="119" t="s">
        <v>61</v>
      </c>
      <c r="S49" s="122"/>
      <c r="T49" s="102"/>
      <c r="U49" s="103"/>
      <c r="V49" s="104"/>
      <c r="W49" s="105"/>
      <c r="X49" s="103"/>
      <c r="Y49" s="103"/>
      <c r="Z49" s="105"/>
      <c r="CH49" s="46" t="s">
        <v>52</v>
      </c>
      <c r="CI49" s="136"/>
      <c r="CJ49" s="136"/>
      <c r="CK49" s="136"/>
      <c r="CL49" s="136"/>
      <c r="CM49" s="136"/>
      <c r="CN49" s="136"/>
      <c r="CO49" s="136"/>
    </row>
    <row r="50" spans="1:93" s="106" customFormat="1" ht="29.25" customHeight="1">
      <c r="A50" s="94">
        <f t="shared" si="2"/>
        <v>30</v>
      </c>
      <c r="B50" s="110" t="s">
        <v>150</v>
      </c>
      <c r="C50" s="424" t="s">
        <v>151</v>
      </c>
      <c r="D50" s="424"/>
      <c r="E50" s="112" t="s">
        <v>50</v>
      </c>
      <c r="F50" s="98" t="s">
        <v>51</v>
      </c>
      <c r="G50" s="113">
        <v>215</v>
      </c>
      <c r="H50" s="114">
        <v>4.51</v>
      </c>
      <c r="I50" s="115"/>
      <c r="J50" s="139"/>
      <c r="K50" s="115"/>
      <c r="L50" s="117"/>
      <c r="M50" s="119">
        <v>21</v>
      </c>
      <c r="N50" s="119">
        <v>2</v>
      </c>
      <c r="O50" s="120">
        <v>430</v>
      </c>
      <c r="P50" s="121">
        <v>0</v>
      </c>
      <c r="Q50" s="119">
        <v>215</v>
      </c>
      <c r="R50" s="119" t="s">
        <v>114</v>
      </c>
      <c r="S50" s="122">
        <v>4.51</v>
      </c>
      <c r="T50" s="102"/>
      <c r="U50" s="103"/>
      <c r="V50" s="104"/>
      <c r="W50" s="105"/>
      <c r="X50" s="103"/>
      <c r="Y50" s="103"/>
      <c r="Z50" s="105"/>
      <c r="CH50" s="46" t="s">
        <v>52</v>
      </c>
      <c r="CI50" s="136"/>
      <c r="CJ50" s="136"/>
      <c r="CK50" s="136"/>
      <c r="CL50" s="136"/>
      <c r="CM50" s="136"/>
      <c r="CN50" s="136"/>
      <c r="CO50" s="136"/>
    </row>
    <row r="51" spans="1:93" s="106" customFormat="1" ht="29.25" customHeight="1">
      <c r="A51" s="94">
        <f t="shared" si="2"/>
        <v>31</v>
      </c>
      <c r="B51" s="141" t="s">
        <v>152</v>
      </c>
      <c r="C51" s="424" t="s">
        <v>153</v>
      </c>
      <c r="D51" s="424"/>
      <c r="E51" s="112" t="s">
        <v>50</v>
      </c>
      <c r="F51" s="98" t="s">
        <v>51</v>
      </c>
      <c r="G51" s="142">
        <v>26.1</v>
      </c>
      <c r="H51" s="114">
        <v>0.504</v>
      </c>
      <c r="I51" s="143"/>
      <c r="J51" s="115"/>
      <c r="K51" s="144"/>
      <c r="L51" s="145"/>
      <c r="M51" s="146">
        <v>19.3</v>
      </c>
      <c r="N51" s="141">
        <v>2</v>
      </c>
      <c r="O51" s="120">
        <v>52</v>
      </c>
      <c r="P51" s="119"/>
      <c r="Q51" s="147"/>
      <c r="R51" s="147"/>
      <c r="S51" s="148">
        <v>0.504</v>
      </c>
      <c r="T51" s="102"/>
      <c r="U51" s="103"/>
      <c r="V51" s="104"/>
      <c r="W51" s="105"/>
      <c r="X51" s="103"/>
      <c r="Y51" s="103"/>
      <c r="Z51" s="105"/>
      <c r="CH51" s="46" t="s">
        <v>52</v>
      </c>
      <c r="CI51" s="136"/>
      <c r="CJ51" s="136"/>
      <c r="CK51" s="136"/>
      <c r="CL51" s="136"/>
      <c r="CM51" s="136"/>
      <c r="CN51" s="136"/>
      <c r="CO51" s="136"/>
    </row>
    <row r="52" spans="1:93" ht="48.75" customHeight="1">
      <c r="A52" s="30">
        <f t="shared" si="2"/>
        <v>32</v>
      </c>
      <c r="B52" s="66" t="s">
        <v>154</v>
      </c>
      <c r="C52" s="417" t="s">
        <v>155</v>
      </c>
      <c r="D52" s="417"/>
      <c r="E52" s="53" t="s">
        <v>50</v>
      </c>
      <c r="F52" s="22" t="s">
        <v>51</v>
      </c>
      <c r="G52" s="67">
        <v>374</v>
      </c>
      <c r="H52" s="55">
        <v>7.498</v>
      </c>
      <c r="I52" s="68"/>
      <c r="J52" s="56"/>
      <c r="K52" s="68"/>
      <c r="L52" s="69"/>
      <c r="M52" s="71">
        <v>20.05</v>
      </c>
      <c r="N52" s="71">
        <v>2</v>
      </c>
      <c r="O52" s="60">
        <f>G52*N52</f>
        <v>748</v>
      </c>
      <c r="P52" s="59">
        <f>795+779</f>
        <v>1574</v>
      </c>
      <c r="Q52" s="71"/>
      <c r="R52" s="71"/>
      <c r="S52" s="72">
        <v>7.498</v>
      </c>
      <c r="T52" s="62"/>
      <c r="U52" s="63"/>
      <c r="V52" s="64"/>
      <c r="W52" s="65"/>
      <c r="X52" s="63"/>
      <c r="Y52" s="63"/>
      <c r="Z52" s="65"/>
      <c r="CH52" s="46" t="s">
        <v>52</v>
      </c>
      <c r="CI52" s="46"/>
      <c r="CJ52" s="46"/>
      <c r="CK52" s="46"/>
      <c r="CL52" s="46"/>
      <c r="CM52" s="46"/>
      <c r="CN52" s="46"/>
      <c r="CO52" s="46"/>
    </row>
    <row r="53" spans="1:93" s="106" customFormat="1" ht="29.25" customHeight="1">
      <c r="A53" s="94">
        <f t="shared" si="2"/>
        <v>33</v>
      </c>
      <c r="B53" s="110" t="s">
        <v>156</v>
      </c>
      <c r="C53" s="424" t="s">
        <v>157</v>
      </c>
      <c r="D53" s="424"/>
      <c r="E53" s="112" t="s">
        <v>50</v>
      </c>
      <c r="F53" s="98" t="s">
        <v>51</v>
      </c>
      <c r="G53" s="113">
        <v>582</v>
      </c>
      <c r="H53" s="114">
        <v>10.56</v>
      </c>
      <c r="I53" s="115"/>
      <c r="J53" s="116"/>
      <c r="K53" s="115"/>
      <c r="L53" s="117"/>
      <c r="M53" s="119">
        <v>18.14</v>
      </c>
      <c r="N53" s="119">
        <v>4</v>
      </c>
      <c r="O53" s="120">
        <v>2328</v>
      </c>
      <c r="P53" s="121">
        <v>0</v>
      </c>
      <c r="Q53" s="119">
        <v>590</v>
      </c>
      <c r="R53" s="119" t="s">
        <v>77</v>
      </c>
      <c r="S53" s="122">
        <v>10.56</v>
      </c>
      <c r="T53" s="102"/>
      <c r="U53" s="103"/>
      <c r="V53" s="104"/>
      <c r="W53" s="105"/>
      <c r="X53" s="103"/>
      <c r="Y53" s="103"/>
      <c r="Z53" s="105"/>
      <c r="CH53" s="46" t="s">
        <v>52</v>
      </c>
      <c r="CI53" s="136"/>
      <c r="CJ53" s="136"/>
      <c r="CK53" s="136"/>
      <c r="CL53" s="136"/>
      <c r="CM53" s="136"/>
      <c r="CN53" s="136"/>
      <c r="CO53" s="136"/>
    </row>
    <row r="54" spans="1:93" ht="29.25" customHeight="1">
      <c r="A54" s="408">
        <f t="shared" si="2"/>
        <v>34</v>
      </c>
      <c r="B54" s="417" t="s">
        <v>158</v>
      </c>
      <c r="C54" s="417" t="s">
        <v>80</v>
      </c>
      <c r="D54" s="417" t="s">
        <v>159</v>
      </c>
      <c r="E54" s="408" t="s">
        <v>50</v>
      </c>
      <c r="F54" s="22" t="s">
        <v>51</v>
      </c>
      <c r="G54" s="410">
        <v>170</v>
      </c>
      <c r="H54" s="418">
        <v>3.08</v>
      </c>
      <c r="I54" s="68"/>
      <c r="J54" s="56">
        <v>0.264</v>
      </c>
      <c r="K54" s="68"/>
      <c r="L54" s="69"/>
      <c r="M54" s="408">
        <v>19.53</v>
      </c>
      <c r="N54" s="408">
        <v>2</v>
      </c>
      <c r="O54" s="426">
        <v>340</v>
      </c>
      <c r="P54" s="59">
        <f>433+272</f>
        <v>705</v>
      </c>
      <c r="Q54" s="408">
        <v>0</v>
      </c>
      <c r="R54" s="408" t="s">
        <v>61</v>
      </c>
      <c r="S54" s="24"/>
      <c r="T54" s="62"/>
      <c r="U54" s="63"/>
      <c r="V54" s="64"/>
      <c r="W54" s="65"/>
      <c r="X54" s="63"/>
      <c r="Y54" s="63"/>
      <c r="Z54" s="65"/>
      <c r="CH54" s="149" t="s">
        <v>62</v>
      </c>
      <c r="CI54" s="150" t="s">
        <v>160</v>
      </c>
      <c r="CJ54" s="96" t="s">
        <v>64</v>
      </c>
      <c r="CK54" s="97" t="s">
        <v>65</v>
      </c>
      <c r="CL54" s="97" t="s">
        <v>66</v>
      </c>
      <c r="CM54" s="97" t="s">
        <v>67</v>
      </c>
      <c r="CN54" s="96" t="s">
        <v>67</v>
      </c>
      <c r="CO54" s="96"/>
    </row>
    <row r="55" spans="1:93" ht="29.25" customHeight="1">
      <c r="A55" s="408"/>
      <c r="B55" s="417"/>
      <c r="C55" s="417"/>
      <c r="D55" s="417"/>
      <c r="E55" s="408"/>
      <c r="F55" s="22"/>
      <c r="G55" s="410"/>
      <c r="H55" s="418"/>
      <c r="I55" s="68"/>
      <c r="J55" s="56"/>
      <c r="K55" s="68"/>
      <c r="L55" s="69"/>
      <c r="M55" s="408"/>
      <c r="N55" s="408"/>
      <c r="O55" s="426"/>
      <c r="P55" s="59"/>
      <c r="Q55" s="408"/>
      <c r="R55" s="408"/>
      <c r="S55" s="72"/>
      <c r="T55" s="62"/>
      <c r="U55" s="63"/>
      <c r="V55" s="64"/>
      <c r="W55" s="65"/>
      <c r="X55" s="63"/>
      <c r="Y55" s="63"/>
      <c r="Z55" s="65"/>
      <c r="CH55" s="95" t="s">
        <v>62</v>
      </c>
      <c r="CI55" s="150" t="s">
        <v>160</v>
      </c>
      <c r="CJ55" s="96" t="s">
        <v>71</v>
      </c>
      <c r="CK55" s="97" t="s">
        <v>65</v>
      </c>
      <c r="CL55" s="97" t="s">
        <v>66</v>
      </c>
      <c r="CM55" s="97" t="s">
        <v>67</v>
      </c>
      <c r="CN55" s="96" t="s">
        <v>67</v>
      </c>
      <c r="CO55" s="96"/>
    </row>
    <row r="56" spans="1:93" s="106" customFormat="1" ht="29.25" customHeight="1">
      <c r="A56" s="94">
        <f>A54+1</f>
        <v>35</v>
      </c>
      <c r="B56" s="110" t="s">
        <v>161</v>
      </c>
      <c r="C56" s="424" t="s">
        <v>162</v>
      </c>
      <c r="D56" s="424"/>
      <c r="E56" s="112" t="s">
        <v>50</v>
      </c>
      <c r="F56" s="98" t="s">
        <v>51</v>
      </c>
      <c r="G56" s="113">
        <v>226</v>
      </c>
      <c r="H56" s="114">
        <v>6.33</v>
      </c>
      <c r="I56" s="115"/>
      <c r="J56" s="116"/>
      <c r="K56" s="115"/>
      <c r="L56" s="117"/>
      <c r="M56" s="119">
        <v>28</v>
      </c>
      <c r="N56" s="119">
        <v>2</v>
      </c>
      <c r="O56" s="120">
        <v>452</v>
      </c>
      <c r="P56" s="121">
        <v>0</v>
      </c>
      <c r="Q56" s="119">
        <v>226</v>
      </c>
      <c r="R56" s="119" t="s">
        <v>83</v>
      </c>
      <c r="S56" s="122">
        <v>6.33</v>
      </c>
      <c r="T56" s="102"/>
      <c r="U56" s="103"/>
      <c r="V56" s="104"/>
      <c r="W56" s="105"/>
      <c r="X56" s="103"/>
      <c r="Y56" s="103"/>
      <c r="Z56" s="105"/>
      <c r="CH56" s="46" t="s">
        <v>52</v>
      </c>
      <c r="CI56" s="136"/>
      <c r="CJ56" s="136"/>
      <c r="CK56" s="136"/>
      <c r="CL56" s="136"/>
      <c r="CM56" s="136"/>
      <c r="CN56" s="136"/>
      <c r="CO56" s="136"/>
    </row>
    <row r="57" spans="1:93" s="106" customFormat="1" ht="39.75" customHeight="1">
      <c r="A57" s="94">
        <f>A56+1</f>
        <v>36</v>
      </c>
      <c r="B57" s="110" t="s">
        <v>163</v>
      </c>
      <c r="C57" s="424" t="s">
        <v>164</v>
      </c>
      <c r="D57" s="424"/>
      <c r="E57" s="112" t="s">
        <v>50</v>
      </c>
      <c r="F57" s="98" t="s">
        <v>51</v>
      </c>
      <c r="G57" s="113">
        <v>238</v>
      </c>
      <c r="H57" s="114">
        <v>4.99</v>
      </c>
      <c r="I57" s="115"/>
      <c r="J57" s="116"/>
      <c r="K57" s="115"/>
      <c r="L57" s="117"/>
      <c r="M57" s="119">
        <v>21</v>
      </c>
      <c r="N57" s="119">
        <v>2</v>
      </c>
      <c r="O57" s="120">
        <v>476</v>
      </c>
      <c r="P57" s="121">
        <v>0</v>
      </c>
      <c r="Q57" s="119">
        <v>238</v>
      </c>
      <c r="R57" s="119" t="s">
        <v>165</v>
      </c>
      <c r="S57" s="122">
        <v>4.99</v>
      </c>
      <c r="T57" s="102"/>
      <c r="U57" s="103"/>
      <c r="V57" s="104"/>
      <c r="W57" s="105"/>
      <c r="X57" s="103"/>
      <c r="Y57" s="103"/>
      <c r="Z57" s="105"/>
      <c r="CH57" s="46" t="s">
        <v>52</v>
      </c>
      <c r="CI57" s="136"/>
      <c r="CJ57" s="136"/>
      <c r="CK57" s="136"/>
      <c r="CL57" s="136"/>
      <c r="CM57" s="136"/>
      <c r="CN57" s="136"/>
      <c r="CO57" s="136"/>
    </row>
    <row r="58" spans="1:93" s="11" customFormat="1" ht="33" customHeight="1">
      <c r="A58" s="151"/>
      <c r="B58" s="152" t="s">
        <v>166</v>
      </c>
      <c r="C58" s="153" t="s">
        <v>167</v>
      </c>
      <c r="D58" s="154" t="s">
        <v>168</v>
      </c>
      <c r="E58" s="152"/>
      <c r="F58" s="151"/>
      <c r="G58" s="155">
        <f aca="true" t="shared" si="3" ref="G58:L58">SUM(G16:G57)</f>
        <v>26234.8</v>
      </c>
      <c r="H58" s="156">
        <f t="shared" si="3"/>
        <v>502.777</v>
      </c>
      <c r="I58" s="156">
        <f t="shared" si="3"/>
        <v>2.371</v>
      </c>
      <c r="J58" s="156">
        <f t="shared" si="3"/>
        <v>10.392</v>
      </c>
      <c r="K58" s="156">
        <f t="shared" si="3"/>
        <v>0</v>
      </c>
      <c r="L58" s="156">
        <f t="shared" si="3"/>
        <v>0</v>
      </c>
      <c r="M58" s="152"/>
      <c r="N58" s="157">
        <f>SUM(N16:N57)</f>
        <v>76</v>
      </c>
      <c r="O58" s="158">
        <f>SUM(O16:O57)</f>
        <v>55916</v>
      </c>
      <c r="P58" s="156"/>
      <c r="Q58" s="159">
        <f>SUM(Q16:Q57)</f>
        <v>5120.6</v>
      </c>
      <c r="R58" s="152"/>
      <c r="S58" s="156">
        <f>SUM(S16:S57)</f>
        <v>284.344</v>
      </c>
      <c r="T58" s="160"/>
      <c r="U58" s="161"/>
      <c r="V58" s="162"/>
      <c r="W58" s="163"/>
      <c r="X58" s="164"/>
      <c r="Y58" s="163"/>
      <c r="Z58" s="163"/>
      <c r="CH58" s="46" t="s">
        <v>52</v>
      </c>
      <c r="CI58" s="165"/>
      <c r="CJ58" s="165"/>
      <c r="CK58" s="165"/>
      <c r="CL58" s="165"/>
      <c r="CM58" s="165"/>
      <c r="CN58" s="165"/>
      <c r="CO58" s="165"/>
    </row>
    <row r="59" spans="1:93" ht="24.75" customHeight="1">
      <c r="A59" s="415" t="s">
        <v>169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160"/>
      <c r="U59" s="63"/>
      <c r="V59" s="64"/>
      <c r="W59" s="65"/>
      <c r="X59" s="63"/>
      <c r="Y59" s="65"/>
      <c r="Z59" s="65"/>
      <c r="CH59" s="46" t="s">
        <v>52</v>
      </c>
      <c r="CI59" s="46"/>
      <c r="CJ59" s="46"/>
      <c r="CK59" s="46"/>
      <c r="CL59" s="46"/>
      <c r="CM59" s="46"/>
      <c r="CN59" s="46"/>
      <c r="CO59" s="46"/>
    </row>
    <row r="60" spans="1:93" s="167" customFormat="1" ht="44.25" customHeight="1">
      <c r="A60" s="22">
        <f>A57+1</f>
        <v>37</v>
      </c>
      <c r="B60" s="119" t="s">
        <v>170</v>
      </c>
      <c r="C60" s="424" t="s">
        <v>171</v>
      </c>
      <c r="D60" s="424"/>
      <c r="E60" s="98" t="s">
        <v>172</v>
      </c>
      <c r="F60" s="98" t="s">
        <v>51</v>
      </c>
      <c r="G60" s="113">
        <v>21.2</v>
      </c>
      <c r="H60" s="114">
        <v>0.221</v>
      </c>
      <c r="I60" s="115"/>
      <c r="J60" s="116"/>
      <c r="K60" s="115"/>
      <c r="L60" s="117"/>
      <c r="M60" s="118">
        <v>10.4</v>
      </c>
      <c r="N60" s="119">
        <v>2</v>
      </c>
      <c r="O60" s="120">
        <v>42</v>
      </c>
      <c r="P60" s="121"/>
      <c r="Q60" s="119"/>
      <c r="R60" s="119"/>
      <c r="S60" s="122"/>
      <c r="T60" s="166"/>
      <c r="U60" s="63"/>
      <c r="V60" s="64"/>
      <c r="W60" s="65"/>
      <c r="X60" s="63"/>
      <c r="Y60" s="65"/>
      <c r="Z60" s="65"/>
      <c r="CH60" s="46" t="s">
        <v>52</v>
      </c>
      <c r="CI60" s="168"/>
      <c r="CJ60" s="168"/>
      <c r="CK60" s="168"/>
      <c r="CL60" s="168"/>
      <c r="CM60" s="168"/>
      <c r="CN60" s="168"/>
      <c r="CO60" s="168"/>
    </row>
    <row r="61" spans="1:93" ht="45.75" customHeight="1">
      <c r="A61" s="22">
        <f>A60+1</f>
        <v>38</v>
      </c>
      <c r="B61" s="52" t="s">
        <v>173</v>
      </c>
      <c r="C61" s="169" t="s">
        <v>59</v>
      </c>
      <c r="D61" s="52" t="s">
        <v>174</v>
      </c>
      <c r="E61" s="22" t="s">
        <v>172</v>
      </c>
      <c r="F61" s="22" t="s">
        <v>51</v>
      </c>
      <c r="G61" s="67">
        <v>1283</v>
      </c>
      <c r="H61" s="55">
        <v>10.041</v>
      </c>
      <c r="I61" s="68"/>
      <c r="J61" s="56"/>
      <c r="K61" s="68"/>
      <c r="L61" s="69"/>
      <c r="M61" s="71">
        <v>8.5</v>
      </c>
      <c r="N61" s="71">
        <v>2</v>
      </c>
      <c r="O61" s="60">
        <v>2566</v>
      </c>
      <c r="P61" s="59">
        <f>2324+596</f>
        <v>2920</v>
      </c>
      <c r="Q61" s="71">
        <v>0</v>
      </c>
      <c r="R61" s="71"/>
      <c r="S61" s="72">
        <v>8.475</v>
      </c>
      <c r="T61" s="166"/>
      <c r="U61" s="63"/>
      <c r="V61" s="64"/>
      <c r="W61" s="65"/>
      <c r="X61" s="63"/>
      <c r="Y61" s="65"/>
      <c r="Z61" s="65"/>
      <c r="CH61" s="46" t="s">
        <v>42</v>
      </c>
      <c r="CI61" s="169" t="s">
        <v>175</v>
      </c>
      <c r="CJ61" s="48" t="s">
        <v>43</v>
      </c>
      <c r="CK61" s="46" t="s">
        <v>176</v>
      </c>
      <c r="CL61" s="97" t="s">
        <v>66</v>
      </c>
      <c r="CM61" s="97" t="s">
        <v>45</v>
      </c>
      <c r="CN61" s="96" t="s">
        <v>45</v>
      </c>
      <c r="CO61" s="46" t="s">
        <v>42</v>
      </c>
    </row>
    <row r="62" spans="1:93" s="106" customFormat="1" ht="30.75" customHeight="1">
      <c r="A62" s="22">
        <f>A61+1</f>
        <v>39</v>
      </c>
      <c r="B62" s="147" t="s">
        <v>177</v>
      </c>
      <c r="C62" s="428" t="s">
        <v>178</v>
      </c>
      <c r="D62" s="428"/>
      <c r="E62" s="170" t="s">
        <v>172</v>
      </c>
      <c r="F62" s="170" t="s">
        <v>51</v>
      </c>
      <c r="G62" s="142">
        <v>22.5</v>
      </c>
      <c r="H62" s="171">
        <v>1.732</v>
      </c>
      <c r="I62" s="172"/>
      <c r="J62" s="172"/>
      <c r="K62" s="172"/>
      <c r="L62" s="145"/>
      <c r="M62" s="146">
        <v>77</v>
      </c>
      <c r="N62" s="141">
        <v>2</v>
      </c>
      <c r="O62" s="173">
        <v>45</v>
      </c>
      <c r="P62" s="147"/>
      <c r="Q62" s="147"/>
      <c r="R62" s="147"/>
      <c r="S62" s="148"/>
      <c r="T62" s="174"/>
      <c r="U62" s="103"/>
      <c r="V62" s="104"/>
      <c r="W62" s="105"/>
      <c r="X62" s="103"/>
      <c r="Y62" s="105"/>
      <c r="Z62" s="105"/>
      <c r="CH62" s="46" t="s">
        <v>52</v>
      </c>
      <c r="CI62" s="136"/>
      <c r="CJ62" s="136"/>
      <c r="CK62" s="136"/>
      <c r="CL62" s="136"/>
      <c r="CM62" s="136"/>
      <c r="CN62" s="136"/>
      <c r="CO62" s="136"/>
    </row>
    <row r="63" spans="1:93" ht="70.5" customHeight="1">
      <c r="A63" s="429">
        <f>A62+1</f>
        <v>40</v>
      </c>
      <c r="B63" s="417" t="s">
        <v>49</v>
      </c>
      <c r="C63" s="417" t="s">
        <v>179</v>
      </c>
      <c r="D63" s="417" t="s">
        <v>180</v>
      </c>
      <c r="E63" s="408" t="s">
        <v>172</v>
      </c>
      <c r="F63" s="22" t="s">
        <v>51</v>
      </c>
      <c r="G63" s="410">
        <v>1110</v>
      </c>
      <c r="H63" s="418">
        <v>15.995</v>
      </c>
      <c r="I63" s="68"/>
      <c r="J63" s="68"/>
      <c r="K63" s="68"/>
      <c r="L63" s="69"/>
      <c r="M63" s="427">
        <v>13.9</v>
      </c>
      <c r="N63" s="408">
        <v>2</v>
      </c>
      <c r="O63" s="426">
        <v>2220</v>
      </c>
      <c r="P63" s="71">
        <f>2162+150</f>
        <v>2312</v>
      </c>
      <c r="Q63" s="423"/>
      <c r="R63" s="422" t="s">
        <v>61</v>
      </c>
      <c r="S63" s="423"/>
      <c r="T63" s="166"/>
      <c r="U63" s="63"/>
      <c r="V63" s="64"/>
      <c r="W63" s="65"/>
      <c r="X63" s="63"/>
      <c r="Y63" s="63"/>
      <c r="Z63" s="65"/>
      <c r="CH63" s="128" t="s">
        <v>62</v>
      </c>
      <c r="CI63" s="128" t="s">
        <v>181</v>
      </c>
      <c r="CJ63" s="129" t="s">
        <v>71</v>
      </c>
      <c r="CK63" s="130" t="s">
        <v>85</v>
      </c>
      <c r="CL63" s="130" t="s">
        <v>66</v>
      </c>
      <c r="CM63" s="130" t="s">
        <v>67</v>
      </c>
      <c r="CN63" s="129" t="s">
        <v>67</v>
      </c>
      <c r="CO63" s="129"/>
    </row>
    <row r="64" spans="1:93" ht="42.75" customHeight="1">
      <c r="A64" s="429"/>
      <c r="B64" s="417"/>
      <c r="C64" s="417"/>
      <c r="D64" s="417"/>
      <c r="E64" s="408"/>
      <c r="F64" s="22"/>
      <c r="G64" s="410"/>
      <c r="H64" s="418"/>
      <c r="I64" s="68"/>
      <c r="J64" s="68"/>
      <c r="K64" s="68"/>
      <c r="L64" s="69"/>
      <c r="M64" s="427"/>
      <c r="N64" s="408"/>
      <c r="O64" s="426"/>
      <c r="P64" s="71"/>
      <c r="Q64" s="423"/>
      <c r="R64" s="422"/>
      <c r="S64" s="423"/>
      <c r="T64" s="166"/>
      <c r="U64" s="63"/>
      <c r="V64" s="64"/>
      <c r="W64" s="65"/>
      <c r="X64" s="63"/>
      <c r="Y64" s="63"/>
      <c r="Z64" s="65"/>
      <c r="CH64" s="95" t="s">
        <v>62</v>
      </c>
      <c r="CI64" s="95" t="s">
        <v>182</v>
      </c>
      <c r="CJ64" s="96" t="s">
        <v>71</v>
      </c>
      <c r="CK64" s="97" t="s">
        <v>85</v>
      </c>
      <c r="CL64" s="97" t="s">
        <v>66</v>
      </c>
      <c r="CM64" s="97" t="s">
        <v>67</v>
      </c>
      <c r="CN64" s="96" t="s">
        <v>67</v>
      </c>
      <c r="CO64" s="96"/>
    </row>
    <row r="65" spans="1:93" s="106" customFormat="1" ht="31.5">
      <c r="A65" s="429">
        <f>A63+1</f>
        <v>41</v>
      </c>
      <c r="B65" s="417" t="s">
        <v>183</v>
      </c>
      <c r="C65" s="417" t="s">
        <v>184</v>
      </c>
      <c r="D65" s="417" t="s">
        <v>144</v>
      </c>
      <c r="E65" s="22" t="s">
        <v>172</v>
      </c>
      <c r="F65" s="22" t="s">
        <v>51</v>
      </c>
      <c r="G65" s="67">
        <v>1119</v>
      </c>
      <c r="H65" s="99">
        <v>13.467</v>
      </c>
      <c r="I65" s="68"/>
      <c r="J65" s="68"/>
      <c r="K65" s="68"/>
      <c r="L65" s="69"/>
      <c r="M65" s="71">
        <v>7.5</v>
      </c>
      <c r="N65" s="408">
        <v>2</v>
      </c>
      <c r="O65" s="426">
        <v>2238</v>
      </c>
      <c r="P65" s="71">
        <f>2960+251</f>
        <v>3211</v>
      </c>
      <c r="Q65" s="408">
        <v>207.9</v>
      </c>
      <c r="R65" s="422" t="s">
        <v>185</v>
      </c>
      <c r="S65" s="423"/>
      <c r="T65" s="174"/>
      <c r="U65" s="176"/>
      <c r="V65" s="177"/>
      <c r="W65" s="115"/>
      <c r="X65" s="103"/>
      <c r="Y65" s="105"/>
      <c r="Z65" s="105"/>
      <c r="CH65" s="128" t="s">
        <v>62</v>
      </c>
      <c r="CI65" s="128" t="s">
        <v>186</v>
      </c>
      <c r="CJ65" s="129" t="s">
        <v>64</v>
      </c>
      <c r="CK65" s="130" t="s">
        <v>75</v>
      </c>
      <c r="CL65" s="130" t="s">
        <v>66</v>
      </c>
      <c r="CM65" s="130" t="s">
        <v>67</v>
      </c>
      <c r="CN65" s="129" t="s">
        <v>67</v>
      </c>
      <c r="CO65" s="129"/>
    </row>
    <row r="66" spans="1:93" s="106" customFormat="1" ht="31.5">
      <c r="A66" s="429"/>
      <c r="B66" s="417"/>
      <c r="C66" s="417"/>
      <c r="D66" s="417"/>
      <c r="E66" s="22"/>
      <c r="F66" s="22"/>
      <c r="G66" s="67"/>
      <c r="H66" s="99"/>
      <c r="I66" s="68"/>
      <c r="J66" s="68"/>
      <c r="K66" s="68"/>
      <c r="L66" s="69"/>
      <c r="M66" s="71"/>
      <c r="N66" s="408"/>
      <c r="O66" s="426"/>
      <c r="P66" s="71"/>
      <c r="Q66" s="408"/>
      <c r="R66" s="422"/>
      <c r="S66" s="423"/>
      <c r="T66" s="174"/>
      <c r="U66" s="176"/>
      <c r="V66" s="177"/>
      <c r="W66" s="176"/>
      <c r="X66" s="103"/>
      <c r="Y66" s="105"/>
      <c r="Z66" s="105"/>
      <c r="CH66" s="128" t="s">
        <v>62</v>
      </c>
      <c r="CI66" s="128" t="s">
        <v>187</v>
      </c>
      <c r="CJ66" s="129" t="s">
        <v>71</v>
      </c>
      <c r="CK66" s="130" t="s">
        <v>130</v>
      </c>
      <c r="CL66" s="130" t="s">
        <v>66</v>
      </c>
      <c r="CM66" s="130" t="s">
        <v>67</v>
      </c>
      <c r="CN66" s="129" t="s">
        <v>67</v>
      </c>
      <c r="CO66" s="129"/>
    </row>
    <row r="67" spans="1:93" ht="37.5" customHeight="1">
      <c r="A67" s="175">
        <f>A65+1</f>
        <v>42</v>
      </c>
      <c r="B67" s="119" t="s">
        <v>188</v>
      </c>
      <c r="C67" s="424" t="s">
        <v>189</v>
      </c>
      <c r="D67" s="424"/>
      <c r="E67" s="98" t="s">
        <v>172</v>
      </c>
      <c r="F67" s="98" t="s">
        <v>51</v>
      </c>
      <c r="G67" s="113">
        <v>149</v>
      </c>
      <c r="H67" s="178">
        <v>3.13</v>
      </c>
      <c r="I67" s="115"/>
      <c r="J67" s="115"/>
      <c r="K67" s="115"/>
      <c r="L67" s="117"/>
      <c r="M67" s="119">
        <v>21</v>
      </c>
      <c r="N67" s="119">
        <v>2</v>
      </c>
      <c r="O67" s="179">
        <v>298</v>
      </c>
      <c r="P67" s="119">
        <v>0</v>
      </c>
      <c r="Q67" s="119"/>
      <c r="R67" s="180" t="s">
        <v>122</v>
      </c>
      <c r="S67" s="122"/>
      <c r="T67" s="166"/>
      <c r="U67" s="63"/>
      <c r="V67" s="64"/>
      <c r="W67" s="65"/>
      <c r="X67" s="63"/>
      <c r="Y67" s="65"/>
      <c r="Z67" s="65"/>
      <c r="CH67" s="46" t="s">
        <v>52</v>
      </c>
      <c r="CI67" s="46"/>
      <c r="CJ67" s="46"/>
      <c r="CK67" s="46"/>
      <c r="CL67" s="46"/>
      <c r="CM67" s="46"/>
      <c r="CN67" s="46"/>
      <c r="CO67" s="46"/>
    </row>
    <row r="68" spans="1:93" ht="37.5" customHeight="1">
      <c r="A68" s="175"/>
      <c r="B68" s="181" t="s">
        <v>190</v>
      </c>
      <c r="C68" s="52" t="s">
        <v>82</v>
      </c>
      <c r="D68" s="52" t="s">
        <v>81</v>
      </c>
      <c r="E68" s="98"/>
      <c r="F68" s="98"/>
      <c r="G68" s="113"/>
      <c r="H68" s="178"/>
      <c r="I68" s="115"/>
      <c r="J68" s="115"/>
      <c r="K68" s="115"/>
      <c r="L68" s="117"/>
      <c r="M68" s="119"/>
      <c r="N68" s="119"/>
      <c r="O68" s="179"/>
      <c r="P68" s="119"/>
      <c r="Q68" s="119"/>
      <c r="R68" s="180"/>
      <c r="S68" s="122"/>
      <c r="T68" s="166"/>
      <c r="U68" s="63"/>
      <c r="V68" s="64"/>
      <c r="W68" s="65"/>
      <c r="X68" s="63"/>
      <c r="Y68" s="65"/>
      <c r="Z68" s="65"/>
      <c r="CH68" s="46" t="s">
        <v>42</v>
      </c>
      <c r="CI68" s="95" t="s">
        <v>191</v>
      </c>
      <c r="CJ68" s="182" t="s">
        <v>192</v>
      </c>
      <c r="CK68" s="97" t="s">
        <v>85</v>
      </c>
      <c r="CL68" s="97" t="s">
        <v>66</v>
      </c>
      <c r="CM68" s="97" t="s">
        <v>45</v>
      </c>
      <c r="CN68" s="96" t="s">
        <v>45</v>
      </c>
      <c r="CO68" s="46" t="s">
        <v>42</v>
      </c>
    </row>
    <row r="69" spans="1:93" ht="47.25">
      <c r="A69" s="175">
        <f>A67+1</f>
        <v>43</v>
      </c>
      <c r="B69" s="71" t="s">
        <v>190</v>
      </c>
      <c r="C69" s="52" t="s">
        <v>82</v>
      </c>
      <c r="D69" s="52" t="s">
        <v>81</v>
      </c>
      <c r="E69" s="22" t="s">
        <v>172</v>
      </c>
      <c r="F69" s="22" t="s">
        <v>51</v>
      </c>
      <c r="G69" s="67">
        <v>526</v>
      </c>
      <c r="H69" s="99">
        <v>11.232</v>
      </c>
      <c r="I69" s="68"/>
      <c r="J69" s="68"/>
      <c r="K69" s="68"/>
      <c r="L69" s="69"/>
      <c r="M69" s="71">
        <v>9.22</v>
      </c>
      <c r="N69" s="71">
        <v>2</v>
      </c>
      <c r="O69" s="183">
        <v>1052</v>
      </c>
      <c r="P69" s="71">
        <f>1067</f>
        <v>1067</v>
      </c>
      <c r="Q69" s="71">
        <v>0</v>
      </c>
      <c r="R69" s="184" t="s">
        <v>51</v>
      </c>
      <c r="S69" s="72"/>
      <c r="T69" s="166"/>
      <c r="U69" s="63"/>
      <c r="V69" s="64"/>
      <c r="W69" s="65"/>
      <c r="X69" s="63"/>
      <c r="Y69" s="63"/>
      <c r="Z69" s="65"/>
      <c r="CH69" s="149" t="s">
        <v>87</v>
      </c>
      <c r="CI69" s="95" t="s">
        <v>191</v>
      </c>
      <c r="CJ69" s="96" t="s">
        <v>64</v>
      </c>
      <c r="CK69" s="97" t="s">
        <v>85</v>
      </c>
      <c r="CL69" s="97" t="s">
        <v>66</v>
      </c>
      <c r="CM69" s="97" t="s">
        <v>45</v>
      </c>
      <c r="CN69" s="96" t="s">
        <v>45</v>
      </c>
      <c r="CO69" s="96" t="s">
        <v>193</v>
      </c>
    </row>
    <row r="70" spans="1:93" ht="30.75" customHeight="1">
      <c r="A70" s="429">
        <f>A69+1</f>
        <v>44</v>
      </c>
      <c r="B70" s="417" t="s">
        <v>194</v>
      </c>
      <c r="C70" s="417" t="s">
        <v>184</v>
      </c>
      <c r="D70" s="417" t="s">
        <v>195</v>
      </c>
      <c r="E70" s="22" t="s">
        <v>172</v>
      </c>
      <c r="F70" s="22" t="s">
        <v>50</v>
      </c>
      <c r="G70" s="410">
        <v>595</v>
      </c>
      <c r="H70" s="418">
        <v>5.799</v>
      </c>
      <c r="I70" s="68"/>
      <c r="J70" s="68"/>
      <c r="K70" s="68"/>
      <c r="L70" s="69"/>
      <c r="M70" s="408">
        <v>10.3</v>
      </c>
      <c r="N70" s="408">
        <v>2</v>
      </c>
      <c r="O70" s="426">
        <v>1190</v>
      </c>
      <c r="P70" s="71">
        <f>1167+138</f>
        <v>1305</v>
      </c>
      <c r="Q70" s="423"/>
      <c r="R70" s="430"/>
      <c r="S70" s="423"/>
      <c r="T70" s="166"/>
      <c r="U70" s="125"/>
      <c r="V70" s="185"/>
      <c r="W70" s="108"/>
      <c r="X70" s="125"/>
      <c r="Y70" s="108"/>
      <c r="Z70" s="108"/>
      <c r="AA70" s="2"/>
      <c r="CH70" s="95" t="s">
        <v>62</v>
      </c>
      <c r="CI70" s="186" t="s">
        <v>196</v>
      </c>
      <c r="CJ70" s="48" t="s">
        <v>43</v>
      </c>
      <c r="CK70" s="97" t="s">
        <v>72</v>
      </c>
      <c r="CL70" s="97" t="s">
        <v>66</v>
      </c>
      <c r="CM70" s="97" t="s">
        <v>67</v>
      </c>
      <c r="CN70" s="96" t="s">
        <v>45</v>
      </c>
      <c r="CO70" s="96"/>
    </row>
    <row r="71" spans="1:93" ht="30.75" customHeight="1">
      <c r="A71" s="429"/>
      <c r="B71" s="417"/>
      <c r="C71" s="417"/>
      <c r="D71" s="417"/>
      <c r="E71" s="22"/>
      <c r="F71" s="22"/>
      <c r="G71" s="410"/>
      <c r="H71" s="418"/>
      <c r="I71" s="68"/>
      <c r="J71" s="68"/>
      <c r="K71" s="68"/>
      <c r="L71" s="69"/>
      <c r="M71" s="408"/>
      <c r="N71" s="408"/>
      <c r="O71" s="426"/>
      <c r="P71" s="71"/>
      <c r="Q71" s="423"/>
      <c r="R71" s="430"/>
      <c r="S71" s="423"/>
      <c r="T71" s="166"/>
      <c r="U71" s="125"/>
      <c r="V71" s="185"/>
      <c r="W71" s="108"/>
      <c r="X71" s="125"/>
      <c r="Y71" s="108"/>
      <c r="Z71" s="108"/>
      <c r="AA71" s="2"/>
      <c r="CH71" s="95" t="s">
        <v>62</v>
      </c>
      <c r="CI71" s="186" t="s">
        <v>197</v>
      </c>
      <c r="CJ71" s="96" t="s">
        <v>64</v>
      </c>
      <c r="CK71" s="97" t="s">
        <v>72</v>
      </c>
      <c r="CL71" s="97" t="s">
        <v>66</v>
      </c>
      <c r="CM71" s="97" t="s">
        <v>67</v>
      </c>
      <c r="CN71" s="96" t="s">
        <v>45</v>
      </c>
      <c r="CO71" s="96"/>
    </row>
    <row r="72" spans="1:93" ht="49.5" customHeight="1">
      <c r="A72" s="22">
        <f>A70+1</f>
        <v>45</v>
      </c>
      <c r="B72" s="59" t="s">
        <v>198</v>
      </c>
      <c r="C72" s="187" t="s">
        <v>199</v>
      </c>
      <c r="D72" s="188" t="s">
        <v>200</v>
      </c>
      <c r="E72" s="30" t="s">
        <v>172</v>
      </c>
      <c r="F72" s="30" t="s">
        <v>51</v>
      </c>
      <c r="G72" s="54">
        <v>482</v>
      </c>
      <c r="H72" s="55">
        <v>11.457</v>
      </c>
      <c r="I72" s="56"/>
      <c r="J72" s="56"/>
      <c r="K72" s="56"/>
      <c r="L72" s="58"/>
      <c r="M72" s="59">
        <v>21.8</v>
      </c>
      <c r="N72" s="59">
        <v>2</v>
      </c>
      <c r="O72" s="60">
        <v>964</v>
      </c>
      <c r="P72" s="59">
        <f>160+1096</f>
        <v>1256</v>
      </c>
      <c r="Q72" s="59">
        <v>478.9</v>
      </c>
      <c r="R72" s="71" t="s">
        <v>140</v>
      </c>
      <c r="S72" s="72"/>
      <c r="T72" s="166"/>
      <c r="U72" s="63"/>
      <c r="V72" s="64"/>
      <c r="W72" s="65"/>
      <c r="X72" s="63"/>
      <c r="Y72" s="65"/>
      <c r="Z72" s="65"/>
      <c r="CH72" s="46" t="s">
        <v>42</v>
      </c>
      <c r="CI72" s="187" t="s">
        <v>201</v>
      </c>
      <c r="CJ72" s="48" t="s">
        <v>43</v>
      </c>
      <c r="CK72" s="97" t="s">
        <v>85</v>
      </c>
      <c r="CL72" s="97" t="s">
        <v>66</v>
      </c>
      <c r="CM72" s="46" t="s">
        <v>45</v>
      </c>
      <c r="CN72" s="46" t="s">
        <v>45</v>
      </c>
      <c r="CO72" s="46" t="s">
        <v>42</v>
      </c>
    </row>
    <row r="73" spans="1:93" s="106" customFormat="1" ht="25.5" customHeight="1">
      <c r="A73" s="22">
        <f>A72+1</f>
        <v>46</v>
      </c>
      <c r="B73" s="119" t="s">
        <v>202</v>
      </c>
      <c r="C73" s="424" t="s">
        <v>203</v>
      </c>
      <c r="D73" s="424"/>
      <c r="E73" s="98" t="s">
        <v>172</v>
      </c>
      <c r="F73" s="98" t="s">
        <v>51</v>
      </c>
      <c r="G73" s="113">
        <v>20</v>
      </c>
      <c r="H73" s="114">
        <v>0.422</v>
      </c>
      <c r="I73" s="115"/>
      <c r="J73" s="116"/>
      <c r="K73" s="115"/>
      <c r="L73" s="117"/>
      <c r="M73" s="119">
        <v>21</v>
      </c>
      <c r="N73" s="119">
        <v>2</v>
      </c>
      <c r="O73" s="120">
        <v>40</v>
      </c>
      <c r="P73" s="121">
        <v>0</v>
      </c>
      <c r="Q73" s="119">
        <v>0</v>
      </c>
      <c r="R73" s="119"/>
      <c r="S73" s="122"/>
      <c r="T73" s="174"/>
      <c r="U73" s="103"/>
      <c r="V73" s="104"/>
      <c r="W73" s="105"/>
      <c r="X73" s="103"/>
      <c r="Y73" s="103"/>
      <c r="Z73" s="105"/>
      <c r="CH73" s="46" t="s">
        <v>52</v>
      </c>
      <c r="CI73" s="136"/>
      <c r="CJ73" s="136"/>
      <c r="CK73" s="136"/>
      <c r="CL73" s="136"/>
      <c r="CM73" s="136"/>
      <c r="CN73" s="136"/>
      <c r="CO73" s="136"/>
    </row>
    <row r="74" spans="1:93" s="106" customFormat="1" ht="30.75" customHeight="1">
      <c r="A74" s="22">
        <f>A73+1</f>
        <v>47</v>
      </c>
      <c r="B74" s="119" t="s">
        <v>204</v>
      </c>
      <c r="C74" s="189" t="s">
        <v>205</v>
      </c>
      <c r="D74" s="111" t="s">
        <v>206</v>
      </c>
      <c r="E74" s="98" t="s">
        <v>172</v>
      </c>
      <c r="F74" s="98" t="s">
        <v>50</v>
      </c>
      <c r="G74" s="113">
        <v>160</v>
      </c>
      <c r="H74" s="114">
        <v>1.151</v>
      </c>
      <c r="I74" s="115"/>
      <c r="J74" s="116"/>
      <c r="K74" s="115"/>
      <c r="L74" s="117"/>
      <c r="M74" s="119">
        <v>7.2</v>
      </c>
      <c r="N74" s="119">
        <v>2</v>
      </c>
      <c r="O74" s="120">
        <v>320</v>
      </c>
      <c r="P74" s="121"/>
      <c r="Q74" s="119"/>
      <c r="R74" s="119"/>
      <c r="S74" s="122"/>
      <c r="T74" s="174"/>
      <c r="U74" s="103"/>
      <c r="V74" s="104"/>
      <c r="W74" s="105"/>
      <c r="X74" s="103"/>
      <c r="Y74" s="105"/>
      <c r="Z74" s="105"/>
      <c r="CH74" s="46" t="s">
        <v>52</v>
      </c>
      <c r="CI74" s="136"/>
      <c r="CJ74" s="136"/>
      <c r="CK74" s="136"/>
      <c r="CL74" s="136"/>
      <c r="CM74" s="136"/>
      <c r="CN74" s="136"/>
      <c r="CO74" s="136"/>
    </row>
    <row r="75" spans="1:93" ht="25.5" customHeight="1">
      <c r="A75" s="22">
        <f>A74+1</f>
        <v>48</v>
      </c>
      <c r="B75" s="71" t="s">
        <v>207</v>
      </c>
      <c r="C75" s="169" t="s">
        <v>200</v>
      </c>
      <c r="D75" s="52" t="s">
        <v>55</v>
      </c>
      <c r="E75" s="22" t="s">
        <v>172</v>
      </c>
      <c r="F75" s="22" t="s">
        <v>51</v>
      </c>
      <c r="G75" s="67">
        <v>94</v>
      </c>
      <c r="H75" s="55">
        <v>2.91</v>
      </c>
      <c r="I75" s="68"/>
      <c r="J75" s="56"/>
      <c r="K75" s="68"/>
      <c r="L75" s="69"/>
      <c r="M75" s="71">
        <v>21.8</v>
      </c>
      <c r="N75" s="71">
        <v>2</v>
      </c>
      <c r="O75" s="60">
        <v>188</v>
      </c>
      <c r="P75" s="59">
        <f>187</f>
        <v>187</v>
      </c>
      <c r="Q75" s="71">
        <v>0</v>
      </c>
      <c r="R75" s="71" t="s">
        <v>140</v>
      </c>
      <c r="S75" s="72"/>
      <c r="T75" s="166"/>
      <c r="U75" s="63"/>
      <c r="V75" s="64"/>
      <c r="W75" s="65"/>
      <c r="X75" s="63"/>
      <c r="Y75" s="63"/>
      <c r="Z75" s="65"/>
      <c r="CH75" s="46" t="s">
        <v>52</v>
      </c>
      <c r="CI75" s="46"/>
      <c r="CJ75" s="46"/>
      <c r="CK75" s="46"/>
      <c r="CL75" s="46"/>
      <c r="CM75" s="46"/>
      <c r="CN75" s="46"/>
      <c r="CO75" s="46"/>
    </row>
    <row r="76" spans="1:93" ht="25.5" customHeight="1">
      <c r="A76" s="22">
        <f>A75+1</f>
        <v>49</v>
      </c>
      <c r="B76" s="71" t="s">
        <v>208</v>
      </c>
      <c r="C76" s="190" t="s">
        <v>209</v>
      </c>
      <c r="D76" s="52" t="s">
        <v>210</v>
      </c>
      <c r="E76" s="22" t="s">
        <v>172</v>
      </c>
      <c r="F76" s="22" t="s">
        <v>51</v>
      </c>
      <c r="G76" s="67">
        <v>1601</v>
      </c>
      <c r="H76" s="55">
        <v>26.598</v>
      </c>
      <c r="I76" s="68"/>
      <c r="J76" s="68">
        <v>5.001</v>
      </c>
      <c r="K76" s="68"/>
      <c r="L76" s="69"/>
      <c r="M76" s="71">
        <v>11.5</v>
      </c>
      <c r="N76" s="71">
        <v>2</v>
      </c>
      <c r="O76" s="60">
        <v>3202</v>
      </c>
      <c r="P76" s="59">
        <f>2080+2879</f>
        <v>4959</v>
      </c>
      <c r="Q76" s="71"/>
      <c r="R76" s="71"/>
      <c r="S76" s="72"/>
      <c r="T76" s="166"/>
      <c r="U76" s="63"/>
      <c r="V76" s="64"/>
      <c r="W76" s="65"/>
      <c r="X76" s="63"/>
      <c r="Y76" s="65"/>
      <c r="Z76" s="65"/>
      <c r="CH76" s="46" t="s">
        <v>52</v>
      </c>
      <c r="CI76" s="46"/>
      <c r="CJ76" s="46"/>
      <c r="CK76" s="46"/>
      <c r="CL76" s="46"/>
      <c r="CM76" s="46"/>
      <c r="CN76" s="46"/>
      <c r="CO76" s="46"/>
    </row>
    <row r="77" spans="1:93" s="106" customFormat="1" ht="31.5">
      <c r="A77" s="408">
        <f>A76+1</f>
        <v>50</v>
      </c>
      <c r="B77" s="431" t="s">
        <v>211</v>
      </c>
      <c r="C77" s="417" t="s">
        <v>195</v>
      </c>
      <c r="D77" s="431" t="s">
        <v>81</v>
      </c>
      <c r="E77" s="422" t="s">
        <v>172</v>
      </c>
      <c r="F77" s="22" t="s">
        <v>51</v>
      </c>
      <c r="G77" s="410">
        <v>634</v>
      </c>
      <c r="H77" s="418">
        <v>8.102</v>
      </c>
      <c r="I77" s="68"/>
      <c r="J77" s="56"/>
      <c r="K77" s="68"/>
      <c r="L77" s="69"/>
      <c r="M77" s="408">
        <v>12.2</v>
      </c>
      <c r="N77" s="408">
        <v>2</v>
      </c>
      <c r="O77" s="426">
        <v>1268</v>
      </c>
      <c r="P77" s="59">
        <f>1644</f>
        <v>1644</v>
      </c>
      <c r="Q77" s="408">
        <v>0</v>
      </c>
      <c r="R77" s="408" t="s">
        <v>61</v>
      </c>
      <c r="S77" s="423"/>
      <c r="T77" s="174"/>
      <c r="U77" s="103"/>
      <c r="V77" s="104"/>
      <c r="W77" s="105"/>
      <c r="X77" s="103"/>
      <c r="Y77" s="105"/>
      <c r="Z77" s="105"/>
      <c r="CH77" s="95" t="s">
        <v>62</v>
      </c>
      <c r="CI77" s="95" t="s">
        <v>212</v>
      </c>
      <c r="CJ77" s="48" t="s">
        <v>43</v>
      </c>
      <c r="CK77" s="97" t="s">
        <v>176</v>
      </c>
      <c r="CL77" s="97" t="s">
        <v>66</v>
      </c>
      <c r="CM77" s="97" t="s">
        <v>67</v>
      </c>
      <c r="CN77" s="96" t="s">
        <v>45</v>
      </c>
      <c r="CO77" s="96"/>
    </row>
    <row r="78" spans="1:93" s="106" customFormat="1" ht="31.5">
      <c r="A78" s="408"/>
      <c r="B78" s="431"/>
      <c r="C78" s="417"/>
      <c r="D78" s="431"/>
      <c r="E78" s="422"/>
      <c r="F78" s="22"/>
      <c r="G78" s="410"/>
      <c r="H78" s="418"/>
      <c r="I78" s="68"/>
      <c r="J78" s="56"/>
      <c r="K78" s="68"/>
      <c r="L78" s="69"/>
      <c r="M78" s="408"/>
      <c r="N78" s="408"/>
      <c r="O78" s="426"/>
      <c r="P78" s="59"/>
      <c r="Q78" s="408"/>
      <c r="R78" s="408"/>
      <c r="S78" s="423"/>
      <c r="T78" s="174"/>
      <c r="U78" s="103"/>
      <c r="V78" s="104"/>
      <c r="W78" s="105"/>
      <c r="X78" s="103"/>
      <c r="Y78" s="105"/>
      <c r="Z78" s="105"/>
      <c r="CH78" s="95" t="s">
        <v>62</v>
      </c>
      <c r="CI78" s="95" t="s">
        <v>213</v>
      </c>
      <c r="CJ78" s="96" t="s">
        <v>64</v>
      </c>
      <c r="CK78" s="97" t="s">
        <v>176</v>
      </c>
      <c r="CL78" s="97" t="s">
        <v>66</v>
      </c>
      <c r="CM78" s="97" t="s">
        <v>67</v>
      </c>
      <c r="CN78" s="96" t="s">
        <v>45</v>
      </c>
      <c r="CO78" s="96"/>
    </row>
    <row r="79" spans="1:93" s="106" customFormat="1" ht="31.5">
      <c r="A79" s="408"/>
      <c r="B79" s="431"/>
      <c r="C79" s="417"/>
      <c r="D79" s="431"/>
      <c r="E79" s="422"/>
      <c r="F79" s="22"/>
      <c r="G79" s="410"/>
      <c r="H79" s="418"/>
      <c r="I79" s="68"/>
      <c r="J79" s="56"/>
      <c r="K79" s="68"/>
      <c r="L79" s="69"/>
      <c r="M79" s="408"/>
      <c r="N79" s="408"/>
      <c r="O79" s="426"/>
      <c r="P79" s="59"/>
      <c r="Q79" s="408"/>
      <c r="R79" s="408"/>
      <c r="S79" s="423"/>
      <c r="T79" s="174"/>
      <c r="U79" s="103"/>
      <c r="V79" s="104"/>
      <c r="W79" s="105"/>
      <c r="X79" s="103"/>
      <c r="Y79" s="105"/>
      <c r="Z79" s="105"/>
      <c r="CH79" s="149" t="s">
        <v>62</v>
      </c>
      <c r="CI79" s="95" t="s">
        <v>214</v>
      </c>
      <c r="CJ79" s="96" t="s">
        <v>71</v>
      </c>
      <c r="CK79" s="97" t="s">
        <v>176</v>
      </c>
      <c r="CL79" s="97" t="s">
        <v>66</v>
      </c>
      <c r="CM79" s="97" t="s">
        <v>67</v>
      </c>
      <c r="CN79" s="96" t="s">
        <v>45</v>
      </c>
      <c r="CO79" s="96"/>
    </row>
    <row r="80" spans="1:93" s="106" customFormat="1" ht="47.25">
      <c r="A80" s="408"/>
      <c r="B80" s="431"/>
      <c r="C80" s="417"/>
      <c r="D80" s="431"/>
      <c r="E80" s="422"/>
      <c r="F80" s="22"/>
      <c r="G80" s="410"/>
      <c r="H80" s="418"/>
      <c r="I80" s="68"/>
      <c r="J80" s="56"/>
      <c r="K80" s="68"/>
      <c r="L80" s="69"/>
      <c r="M80" s="408"/>
      <c r="N80" s="408"/>
      <c r="O80" s="426"/>
      <c r="P80" s="59"/>
      <c r="Q80" s="408"/>
      <c r="R80" s="408"/>
      <c r="S80" s="423"/>
      <c r="T80" s="174"/>
      <c r="U80" s="103"/>
      <c r="V80" s="104"/>
      <c r="W80" s="105"/>
      <c r="X80" s="103"/>
      <c r="Y80" s="105"/>
      <c r="Z80" s="105"/>
      <c r="CH80" s="149" t="s">
        <v>62</v>
      </c>
      <c r="CI80" s="95" t="s">
        <v>215</v>
      </c>
      <c r="CJ80" s="96" t="s">
        <v>71</v>
      </c>
      <c r="CK80" s="97" t="s">
        <v>176</v>
      </c>
      <c r="CL80" s="97" t="s">
        <v>66</v>
      </c>
      <c r="CM80" s="97" t="s">
        <v>67</v>
      </c>
      <c r="CN80" s="96" t="s">
        <v>45</v>
      </c>
      <c r="CO80" s="96"/>
    </row>
    <row r="81" spans="1:93" ht="59.25" customHeight="1">
      <c r="A81" s="408">
        <f>A77+1</f>
        <v>51</v>
      </c>
      <c r="B81" s="417" t="s">
        <v>216</v>
      </c>
      <c r="C81" s="432" t="s">
        <v>110</v>
      </c>
      <c r="D81" s="417" t="s">
        <v>217</v>
      </c>
      <c r="E81" s="408" t="s">
        <v>172</v>
      </c>
      <c r="F81" s="22" t="s">
        <v>51</v>
      </c>
      <c r="G81" s="410">
        <v>1788</v>
      </c>
      <c r="H81" s="418">
        <v>16.773</v>
      </c>
      <c r="I81" s="68"/>
      <c r="J81" s="56">
        <v>0.725</v>
      </c>
      <c r="K81" s="68"/>
      <c r="L81" s="69"/>
      <c r="M81" s="408">
        <v>15.4</v>
      </c>
      <c r="N81" s="408">
        <v>2</v>
      </c>
      <c r="O81" s="426">
        <v>3290</v>
      </c>
      <c r="P81" s="59">
        <f>3290</f>
        <v>3290</v>
      </c>
      <c r="Q81" s="423"/>
      <c r="R81" s="408" t="s">
        <v>140</v>
      </c>
      <c r="S81" s="423"/>
      <c r="T81" s="166"/>
      <c r="U81" s="63"/>
      <c r="V81" s="64"/>
      <c r="W81" s="65"/>
      <c r="X81" s="63"/>
      <c r="Y81" s="65"/>
      <c r="Z81" s="65"/>
      <c r="CH81" s="128" t="s">
        <v>62</v>
      </c>
      <c r="CI81" s="128" t="s">
        <v>218</v>
      </c>
      <c r="CJ81" s="129" t="s">
        <v>71</v>
      </c>
      <c r="CK81" s="130" t="s">
        <v>65</v>
      </c>
      <c r="CL81" s="130" t="s">
        <v>66</v>
      </c>
      <c r="CM81" s="130" t="s">
        <v>67</v>
      </c>
      <c r="CN81" s="129" t="s">
        <v>67</v>
      </c>
      <c r="CO81" s="129"/>
    </row>
    <row r="82" spans="1:93" ht="59.25" customHeight="1">
      <c r="A82" s="408"/>
      <c r="B82" s="417"/>
      <c r="C82" s="432"/>
      <c r="D82" s="417"/>
      <c r="E82" s="408"/>
      <c r="F82" s="22"/>
      <c r="G82" s="410"/>
      <c r="H82" s="418"/>
      <c r="I82" s="68"/>
      <c r="J82" s="56"/>
      <c r="K82" s="68"/>
      <c r="L82" s="69"/>
      <c r="M82" s="408"/>
      <c r="N82" s="408"/>
      <c r="O82" s="426"/>
      <c r="P82" s="59"/>
      <c r="Q82" s="423"/>
      <c r="R82" s="408"/>
      <c r="S82" s="423"/>
      <c r="T82" s="166"/>
      <c r="U82" s="63"/>
      <c r="V82" s="64"/>
      <c r="W82" s="65"/>
      <c r="X82" s="63"/>
      <c r="Y82" s="65"/>
      <c r="Z82" s="65"/>
      <c r="CH82" s="128" t="s">
        <v>62</v>
      </c>
      <c r="CI82" s="128" t="s">
        <v>219</v>
      </c>
      <c r="CJ82" s="129" t="s">
        <v>71</v>
      </c>
      <c r="CK82" s="130" t="s">
        <v>65</v>
      </c>
      <c r="CL82" s="130" t="s">
        <v>66</v>
      </c>
      <c r="CM82" s="130" t="s">
        <v>67</v>
      </c>
      <c r="CN82" s="129" t="s">
        <v>67</v>
      </c>
      <c r="CO82" s="129"/>
    </row>
    <row r="83" spans="1:93" ht="59.25" customHeight="1">
      <c r="A83" s="408"/>
      <c r="B83" s="417"/>
      <c r="C83" s="432"/>
      <c r="D83" s="417"/>
      <c r="E83" s="408"/>
      <c r="F83" s="22"/>
      <c r="G83" s="410"/>
      <c r="H83" s="418"/>
      <c r="I83" s="68"/>
      <c r="J83" s="56"/>
      <c r="K83" s="68"/>
      <c r="L83" s="69"/>
      <c r="M83" s="408"/>
      <c r="N83" s="408"/>
      <c r="O83" s="426"/>
      <c r="P83" s="59"/>
      <c r="Q83" s="423"/>
      <c r="R83" s="408"/>
      <c r="S83" s="423"/>
      <c r="T83" s="166"/>
      <c r="U83" s="63"/>
      <c r="V83" s="64"/>
      <c r="W83" s="65"/>
      <c r="X83" s="63"/>
      <c r="Y83" s="65"/>
      <c r="Z83" s="65"/>
      <c r="CH83" s="128" t="s">
        <v>62</v>
      </c>
      <c r="CI83" s="128" t="s">
        <v>220</v>
      </c>
      <c r="CJ83" s="129" t="s">
        <v>71</v>
      </c>
      <c r="CK83" s="130" t="s">
        <v>65</v>
      </c>
      <c r="CL83" s="130" t="s">
        <v>66</v>
      </c>
      <c r="CM83" s="130" t="s">
        <v>67</v>
      </c>
      <c r="CN83" s="129" t="s">
        <v>67</v>
      </c>
      <c r="CO83" s="129"/>
    </row>
    <row r="84" spans="1:93" ht="45.75" customHeight="1">
      <c r="A84" s="22">
        <f>A81+1</f>
        <v>52</v>
      </c>
      <c r="B84" s="119" t="s">
        <v>221</v>
      </c>
      <c r="C84" s="424" t="s">
        <v>222</v>
      </c>
      <c r="D84" s="424"/>
      <c r="E84" s="98" t="s">
        <v>172</v>
      </c>
      <c r="F84" s="98" t="s">
        <v>51</v>
      </c>
      <c r="G84" s="113">
        <v>26</v>
      </c>
      <c r="H84" s="114">
        <v>0.383</v>
      </c>
      <c r="I84" s="115"/>
      <c r="J84" s="116"/>
      <c r="K84" s="115"/>
      <c r="L84" s="117"/>
      <c r="M84" s="119">
        <v>15</v>
      </c>
      <c r="N84" s="119">
        <v>2</v>
      </c>
      <c r="O84" s="120">
        <v>52</v>
      </c>
      <c r="P84" s="121">
        <v>0</v>
      </c>
      <c r="Q84" s="119">
        <v>26</v>
      </c>
      <c r="R84" s="119" t="s">
        <v>114</v>
      </c>
      <c r="S84" s="122"/>
      <c r="T84" s="166"/>
      <c r="U84" s="63"/>
      <c r="V84" s="64"/>
      <c r="W84" s="65"/>
      <c r="X84" s="63"/>
      <c r="Y84" s="65"/>
      <c r="Z84" s="65"/>
      <c r="CH84" s="46" t="s">
        <v>52</v>
      </c>
      <c r="CI84" s="46"/>
      <c r="CJ84" s="46"/>
      <c r="CK84" s="46"/>
      <c r="CL84" s="46"/>
      <c r="CM84" s="46"/>
      <c r="CN84" s="46"/>
      <c r="CO84" s="46"/>
    </row>
    <row r="85" spans="1:93" ht="32.25" customHeight="1">
      <c r="A85" s="22">
        <f>A84+1</f>
        <v>53</v>
      </c>
      <c r="B85" s="71" t="s">
        <v>223</v>
      </c>
      <c r="C85" s="169" t="s">
        <v>209</v>
      </c>
      <c r="D85" s="52" t="s">
        <v>224</v>
      </c>
      <c r="E85" s="22" t="s">
        <v>172</v>
      </c>
      <c r="F85" s="22" t="s">
        <v>51</v>
      </c>
      <c r="G85" s="67">
        <v>661</v>
      </c>
      <c r="H85" s="55">
        <v>10.762</v>
      </c>
      <c r="I85" s="68"/>
      <c r="J85" s="56"/>
      <c r="K85" s="68"/>
      <c r="L85" s="69"/>
      <c r="M85" s="71">
        <v>16.1</v>
      </c>
      <c r="N85" s="71">
        <v>2</v>
      </c>
      <c r="O85" s="60">
        <v>1322</v>
      </c>
      <c r="P85" s="59">
        <f>572+1221</f>
        <v>1793</v>
      </c>
      <c r="Q85" s="71">
        <v>0</v>
      </c>
      <c r="R85" s="71"/>
      <c r="S85" s="72"/>
      <c r="T85" s="166"/>
      <c r="U85" s="63"/>
      <c r="V85" s="64"/>
      <c r="W85" s="65"/>
      <c r="X85" s="63"/>
      <c r="Y85" s="65"/>
      <c r="Z85" s="65"/>
      <c r="CH85" s="46" t="s">
        <v>52</v>
      </c>
      <c r="CI85" s="46"/>
      <c r="CJ85" s="46"/>
      <c r="CK85" s="46"/>
      <c r="CL85" s="46"/>
      <c r="CM85" s="46"/>
      <c r="CN85" s="46"/>
      <c r="CO85" s="46"/>
    </row>
    <row r="86" spans="1:93" ht="32.25" customHeight="1">
      <c r="A86" s="22">
        <f>A85+1</f>
        <v>54</v>
      </c>
      <c r="B86" s="71" t="s">
        <v>225</v>
      </c>
      <c r="C86" s="169" t="s">
        <v>226</v>
      </c>
      <c r="D86" s="52" t="s">
        <v>227</v>
      </c>
      <c r="E86" s="22" t="s">
        <v>172</v>
      </c>
      <c r="F86" s="22" t="s">
        <v>51</v>
      </c>
      <c r="G86" s="67">
        <v>334</v>
      </c>
      <c r="H86" s="55">
        <v>4.946</v>
      </c>
      <c r="I86" s="68"/>
      <c r="J86" s="56"/>
      <c r="K86" s="68"/>
      <c r="L86" s="69"/>
      <c r="M86" s="71">
        <v>14.5</v>
      </c>
      <c r="N86" s="71">
        <v>2</v>
      </c>
      <c r="O86" s="60">
        <v>668</v>
      </c>
      <c r="P86" s="59">
        <f>415+585</f>
        <v>1000</v>
      </c>
      <c r="Q86" s="71">
        <v>341</v>
      </c>
      <c r="R86" s="71" t="s">
        <v>114</v>
      </c>
      <c r="S86" s="72"/>
      <c r="T86" s="166"/>
      <c r="U86" s="63"/>
      <c r="V86" s="64"/>
      <c r="W86" s="65"/>
      <c r="X86" s="63"/>
      <c r="Y86" s="65"/>
      <c r="Z86" s="65"/>
      <c r="CH86" s="46" t="s">
        <v>52</v>
      </c>
      <c r="CI86" s="46"/>
      <c r="CJ86" s="46"/>
      <c r="CK86" s="46"/>
      <c r="CL86" s="46"/>
      <c r="CM86" s="46"/>
      <c r="CN86" s="46"/>
      <c r="CO86" s="46"/>
    </row>
    <row r="87" spans="1:93" ht="44.25" customHeight="1">
      <c r="A87" s="22">
        <f>A86+1</f>
        <v>55</v>
      </c>
      <c r="B87" s="119" t="s">
        <v>228</v>
      </c>
      <c r="C87" s="192" t="s">
        <v>229</v>
      </c>
      <c r="D87" s="119" t="s">
        <v>230</v>
      </c>
      <c r="E87" s="98" t="s">
        <v>172</v>
      </c>
      <c r="F87" s="98" t="s">
        <v>51</v>
      </c>
      <c r="G87" s="113">
        <v>58</v>
      </c>
      <c r="H87" s="114">
        <v>0.394</v>
      </c>
      <c r="I87" s="115"/>
      <c r="J87" s="116"/>
      <c r="K87" s="115"/>
      <c r="L87" s="117"/>
      <c r="M87" s="119">
        <v>6.8</v>
      </c>
      <c r="N87" s="119">
        <v>2</v>
      </c>
      <c r="O87" s="120">
        <v>116</v>
      </c>
      <c r="P87" s="121">
        <v>0</v>
      </c>
      <c r="Q87" s="119"/>
      <c r="R87" s="119"/>
      <c r="S87" s="122">
        <v>0.394</v>
      </c>
      <c r="T87" s="166"/>
      <c r="U87" s="63"/>
      <c r="V87" s="64"/>
      <c r="W87" s="65"/>
      <c r="X87" s="63"/>
      <c r="Y87" s="65"/>
      <c r="Z87" s="65"/>
      <c r="CH87" s="46" t="s">
        <v>52</v>
      </c>
      <c r="CI87" s="46"/>
      <c r="CJ87" s="46"/>
      <c r="CK87" s="46"/>
      <c r="CL87" s="46"/>
      <c r="CM87" s="46"/>
      <c r="CN87" s="46"/>
      <c r="CO87" s="46"/>
    </row>
    <row r="88" spans="1:93" s="106" customFormat="1" ht="32.25" customHeight="1">
      <c r="A88" s="22">
        <f>A87+1</f>
        <v>56</v>
      </c>
      <c r="B88" s="119" t="s">
        <v>231</v>
      </c>
      <c r="C88" s="433" t="s">
        <v>232</v>
      </c>
      <c r="D88" s="433"/>
      <c r="E88" s="112" t="s">
        <v>172</v>
      </c>
      <c r="F88" s="98" t="s">
        <v>51</v>
      </c>
      <c r="G88" s="113">
        <v>172</v>
      </c>
      <c r="H88" s="114">
        <v>2.75</v>
      </c>
      <c r="I88" s="115"/>
      <c r="J88" s="116"/>
      <c r="K88" s="115"/>
      <c r="L88" s="117"/>
      <c r="M88" s="119">
        <v>16</v>
      </c>
      <c r="N88" s="119">
        <v>2</v>
      </c>
      <c r="O88" s="120">
        <v>344</v>
      </c>
      <c r="P88" s="121">
        <v>0</v>
      </c>
      <c r="Q88" s="119"/>
      <c r="R88" s="119"/>
      <c r="S88" s="122"/>
      <c r="T88" s="174"/>
      <c r="U88" s="103"/>
      <c r="V88" s="104"/>
      <c r="W88" s="105"/>
      <c r="X88" s="103"/>
      <c r="Y88" s="103"/>
      <c r="Z88" s="105"/>
      <c r="CH88" s="46" t="s">
        <v>52</v>
      </c>
      <c r="CI88" s="136"/>
      <c r="CJ88" s="136"/>
      <c r="CK88" s="136"/>
      <c r="CL88" s="136"/>
      <c r="CM88" s="136"/>
      <c r="CN88" s="136"/>
      <c r="CO88" s="136"/>
    </row>
    <row r="89" spans="1:93" s="106" customFormat="1" ht="33.75" customHeight="1">
      <c r="A89" s="22">
        <f>A88+1</f>
        <v>57</v>
      </c>
      <c r="B89" s="71" t="s">
        <v>233</v>
      </c>
      <c r="C89" s="191" t="s">
        <v>234</v>
      </c>
      <c r="D89" s="193" t="s">
        <v>235</v>
      </c>
      <c r="E89" s="22" t="s">
        <v>172</v>
      </c>
      <c r="F89" s="22" t="s">
        <v>51</v>
      </c>
      <c r="G89" s="67">
        <v>1531</v>
      </c>
      <c r="H89" s="55">
        <v>25.955</v>
      </c>
      <c r="I89" s="68"/>
      <c r="J89" s="56">
        <v>0.575</v>
      </c>
      <c r="K89" s="68"/>
      <c r="L89" s="69"/>
      <c r="M89" s="71">
        <v>16.58</v>
      </c>
      <c r="N89" s="71">
        <v>2</v>
      </c>
      <c r="O89" s="60">
        <v>3062</v>
      </c>
      <c r="P89" s="59">
        <f>3644+1494</f>
        <v>5138</v>
      </c>
      <c r="Q89" s="71">
        <v>0</v>
      </c>
      <c r="R89" s="71" t="s">
        <v>61</v>
      </c>
      <c r="S89" s="72"/>
      <c r="T89" s="174"/>
      <c r="U89" s="176"/>
      <c r="V89" s="177"/>
      <c r="W89" s="115"/>
      <c r="X89" s="103"/>
      <c r="Y89" s="105"/>
      <c r="Z89" s="105"/>
      <c r="CH89" s="46" t="s">
        <v>52</v>
      </c>
      <c r="CI89" s="136"/>
      <c r="CJ89" s="136"/>
      <c r="CK89" s="136"/>
      <c r="CL89" s="136"/>
      <c r="CM89" s="136"/>
      <c r="CN89" s="136"/>
      <c r="CO89" s="136"/>
    </row>
    <row r="90" spans="1:93" s="106" customFormat="1" ht="33.75" customHeight="1">
      <c r="A90" s="23"/>
      <c r="B90" s="194" t="s">
        <v>236</v>
      </c>
      <c r="C90" s="195" t="s">
        <v>237</v>
      </c>
      <c r="D90" s="196" t="s">
        <v>238</v>
      </c>
      <c r="E90" s="22"/>
      <c r="F90" s="22"/>
      <c r="G90" s="132"/>
      <c r="H90" s="197"/>
      <c r="I90" s="68"/>
      <c r="J90" s="56"/>
      <c r="K90" s="68"/>
      <c r="L90" s="69"/>
      <c r="M90" s="134"/>
      <c r="N90" s="134"/>
      <c r="O90" s="198"/>
      <c r="P90" s="59"/>
      <c r="Q90" s="134"/>
      <c r="R90" s="134"/>
      <c r="S90" s="135"/>
      <c r="T90" s="174"/>
      <c r="U90" s="176"/>
      <c r="V90" s="177"/>
      <c r="W90" s="115"/>
      <c r="X90" s="103"/>
      <c r="Y90" s="105"/>
      <c r="Z90" s="105"/>
      <c r="CH90" s="95" t="s">
        <v>62</v>
      </c>
      <c r="CI90" s="195" t="s">
        <v>239</v>
      </c>
      <c r="CJ90" s="96" t="s">
        <v>64</v>
      </c>
      <c r="CK90" s="97" t="s">
        <v>85</v>
      </c>
      <c r="CL90" s="97" t="s">
        <v>66</v>
      </c>
      <c r="CM90" s="46" t="s">
        <v>67</v>
      </c>
      <c r="CN90" s="46" t="s">
        <v>45</v>
      </c>
      <c r="CO90" s="199"/>
    </row>
    <row r="91" spans="1:93" s="106" customFormat="1" ht="33.75" customHeight="1">
      <c r="A91" s="23"/>
      <c r="B91" s="194" t="s">
        <v>236</v>
      </c>
      <c r="C91" s="195" t="s">
        <v>237</v>
      </c>
      <c r="D91" s="196" t="s">
        <v>238</v>
      </c>
      <c r="E91" s="22"/>
      <c r="F91" s="22"/>
      <c r="G91" s="132"/>
      <c r="H91" s="197"/>
      <c r="I91" s="68"/>
      <c r="J91" s="56"/>
      <c r="K91" s="68"/>
      <c r="L91" s="69"/>
      <c r="M91" s="134"/>
      <c r="N91" s="134"/>
      <c r="O91" s="198"/>
      <c r="P91" s="59"/>
      <c r="Q91" s="134"/>
      <c r="R91" s="134"/>
      <c r="S91" s="135"/>
      <c r="T91" s="174"/>
      <c r="U91" s="176"/>
      <c r="V91" s="177"/>
      <c r="W91" s="115"/>
      <c r="X91" s="103"/>
      <c r="Y91" s="105"/>
      <c r="Z91" s="105"/>
      <c r="CH91" s="95" t="s">
        <v>62</v>
      </c>
      <c r="CI91" s="136"/>
      <c r="CJ91" s="46" t="s">
        <v>113</v>
      </c>
      <c r="CK91" s="46" t="s">
        <v>89</v>
      </c>
      <c r="CL91" s="97" t="s">
        <v>66</v>
      </c>
      <c r="CM91" s="46" t="s">
        <v>67</v>
      </c>
      <c r="CN91" s="46" t="s">
        <v>45</v>
      </c>
      <c r="CO91" s="199"/>
    </row>
    <row r="92" spans="1:93" s="106" customFormat="1" ht="63" customHeight="1">
      <c r="A92" s="408">
        <f>A89+1</f>
        <v>58</v>
      </c>
      <c r="B92" s="417" t="s">
        <v>236</v>
      </c>
      <c r="C92" s="417" t="s">
        <v>240</v>
      </c>
      <c r="D92" s="417" t="s">
        <v>237</v>
      </c>
      <c r="E92" s="22" t="s">
        <v>172</v>
      </c>
      <c r="F92" s="22" t="s">
        <v>51</v>
      </c>
      <c r="G92" s="410">
        <v>1227</v>
      </c>
      <c r="H92" s="418">
        <v>18.315</v>
      </c>
      <c r="I92" s="68"/>
      <c r="J92" s="56">
        <v>0.026</v>
      </c>
      <c r="K92" s="68"/>
      <c r="L92" s="69"/>
      <c r="M92" s="408">
        <v>13.6</v>
      </c>
      <c r="N92" s="408">
        <v>2</v>
      </c>
      <c r="O92" s="426">
        <v>2454</v>
      </c>
      <c r="P92" s="59">
        <f>2536+314</f>
        <v>2850</v>
      </c>
      <c r="Q92" s="408">
        <v>0</v>
      </c>
      <c r="R92" s="408" t="s">
        <v>51</v>
      </c>
      <c r="S92" s="423"/>
      <c r="T92" s="174"/>
      <c r="U92" s="176"/>
      <c r="V92" s="177"/>
      <c r="W92" s="115"/>
      <c r="X92" s="103"/>
      <c r="Y92" s="105"/>
      <c r="Z92" s="105"/>
      <c r="CH92" s="95" t="s">
        <v>62</v>
      </c>
      <c r="CI92" s="195" t="s">
        <v>239</v>
      </c>
      <c r="CJ92" s="96" t="s">
        <v>64</v>
      </c>
      <c r="CK92" s="97" t="s">
        <v>85</v>
      </c>
      <c r="CL92" s="97" t="s">
        <v>66</v>
      </c>
      <c r="CM92" s="97" t="s">
        <v>67</v>
      </c>
      <c r="CN92" s="96" t="s">
        <v>45</v>
      </c>
      <c r="CO92" s="96" t="s">
        <v>241</v>
      </c>
    </row>
    <row r="93" spans="1:93" s="106" customFormat="1" ht="60" customHeight="1">
      <c r="A93" s="408"/>
      <c r="B93" s="417"/>
      <c r="C93" s="417"/>
      <c r="D93" s="417"/>
      <c r="E93" s="22"/>
      <c r="F93" s="22"/>
      <c r="G93" s="410"/>
      <c r="H93" s="418"/>
      <c r="I93" s="68"/>
      <c r="J93" s="56"/>
      <c r="K93" s="68"/>
      <c r="L93" s="69"/>
      <c r="M93" s="408"/>
      <c r="N93" s="408"/>
      <c r="O93" s="426"/>
      <c r="P93" s="59"/>
      <c r="Q93" s="408"/>
      <c r="R93" s="408"/>
      <c r="S93" s="423"/>
      <c r="T93" s="174"/>
      <c r="U93" s="176"/>
      <c r="V93" s="177"/>
      <c r="W93" s="176"/>
      <c r="X93" s="103"/>
      <c r="Y93" s="105"/>
      <c r="Z93" s="105"/>
      <c r="CH93" s="95" t="s">
        <v>62</v>
      </c>
      <c r="CI93" s="95" t="s">
        <v>242</v>
      </c>
      <c r="CJ93" s="96" t="s">
        <v>71</v>
      </c>
      <c r="CK93" s="97" t="s">
        <v>85</v>
      </c>
      <c r="CL93" s="97" t="s">
        <v>66</v>
      </c>
      <c r="CM93" s="97" t="s">
        <v>67</v>
      </c>
      <c r="CN93" s="96" t="s">
        <v>45</v>
      </c>
      <c r="CO93" s="96" t="s">
        <v>241</v>
      </c>
    </row>
    <row r="94" spans="1:93" s="106" customFormat="1" ht="41.25" customHeight="1">
      <c r="A94" s="408"/>
      <c r="B94" s="417"/>
      <c r="C94" s="417"/>
      <c r="D94" s="417"/>
      <c r="E94" s="22"/>
      <c r="F94" s="22"/>
      <c r="G94" s="410"/>
      <c r="H94" s="418"/>
      <c r="I94" s="68"/>
      <c r="J94" s="56"/>
      <c r="K94" s="68"/>
      <c r="L94" s="69"/>
      <c r="M94" s="408"/>
      <c r="N94" s="408"/>
      <c r="O94" s="426"/>
      <c r="P94" s="59"/>
      <c r="Q94" s="408"/>
      <c r="R94" s="408"/>
      <c r="S94" s="423"/>
      <c r="T94" s="174"/>
      <c r="U94" s="176"/>
      <c r="V94" s="177"/>
      <c r="W94" s="176"/>
      <c r="X94" s="103"/>
      <c r="Y94" s="105"/>
      <c r="Z94" s="105"/>
      <c r="CH94" s="95" t="s">
        <v>62</v>
      </c>
      <c r="CI94" s="95" t="s">
        <v>243</v>
      </c>
      <c r="CJ94" s="96" t="s">
        <v>64</v>
      </c>
      <c r="CK94" s="97" t="s">
        <v>89</v>
      </c>
      <c r="CL94" s="97" t="s">
        <v>66</v>
      </c>
      <c r="CM94" s="97" t="s">
        <v>67</v>
      </c>
      <c r="CN94" s="96" t="s">
        <v>45</v>
      </c>
      <c r="CO94" s="96" t="s">
        <v>244</v>
      </c>
    </row>
    <row r="95" spans="1:93" s="106" customFormat="1" ht="41.25" customHeight="1">
      <c r="A95" s="408"/>
      <c r="B95" s="417"/>
      <c r="C95" s="417"/>
      <c r="D95" s="417"/>
      <c r="E95" s="22"/>
      <c r="F95" s="22"/>
      <c r="G95" s="410"/>
      <c r="H95" s="418"/>
      <c r="I95" s="68"/>
      <c r="J95" s="56"/>
      <c r="K95" s="68"/>
      <c r="L95" s="69"/>
      <c r="M95" s="408"/>
      <c r="N95" s="408"/>
      <c r="O95" s="426"/>
      <c r="P95" s="59"/>
      <c r="Q95" s="408"/>
      <c r="R95" s="408"/>
      <c r="S95" s="423"/>
      <c r="T95" s="174"/>
      <c r="U95" s="176"/>
      <c r="V95" s="177"/>
      <c r="W95" s="176"/>
      <c r="X95" s="103"/>
      <c r="Y95" s="105"/>
      <c r="Z95" s="105"/>
      <c r="CH95" s="95" t="s">
        <v>62</v>
      </c>
      <c r="CI95" s="95" t="s">
        <v>245</v>
      </c>
      <c r="CJ95" s="96" t="s">
        <v>71</v>
      </c>
      <c r="CK95" s="97" t="s">
        <v>89</v>
      </c>
      <c r="CL95" s="97" t="s">
        <v>66</v>
      </c>
      <c r="CM95" s="97" t="s">
        <v>67</v>
      </c>
      <c r="CN95" s="96" t="s">
        <v>45</v>
      </c>
      <c r="CO95" s="96" t="s">
        <v>241</v>
      </c>
    </row>
    <row r="96" spans="1:93" s="106" customFormat="1" ht="56.25" customHeight="1">
      <c r="A96" s="408"/>
      <c r="B96" s="417"/>
      <c r="C96" s="417"/>
      <c r="D96" s="417"/>
      <c r="E96" s="22"/>
      <c r="F96" s="22"/>
      <c r="G96" s="410"/>
      <c r="H96" s="418"/>
      <c r="I96" s="68"/>
      <c r="J96" s="56"/>
      <c r="K96" s="68"/>
      <c r="L96" s="69"/>
      <c r="M96" s="408"/>
      <c r="N96" s="408"/>
      <c r="O96" s="426"/>
      <c r="P96" s="59"/>
      <c r="Q96" s="408"/>
      <c r="R96" s="408"/>
      <c r="S96" s="423"/>
      <c r="T96" s="174"/>
      <c r="U96" s="176"/>
      <c r="V96" s="177"/>
      <c r="W96" s="176"/>
      <c r="X96" s="103"/>
      <c r="Y96" s="105"/>
      <c r="Z96" s="105"/>
      <c r="CH96" s="95" t="s">
        <v>62</v>
      </c>
      <c r="CI96" s="95" t="s">
        <v>246</v>
      </c>
      <c r="CJ96" s="96" t="s">
        <v>71</v>
      </c>
      <c r="CK96" s="97" t="s">
        <v>89</v>
      </c>
      <c r="CL96" s="97" t="s">
        <v>66</v>
      </c>
      <c r="CM96" s="97" t="s">
        <v>67</v>
      </c>
      <c r="CN96" s="96" t="s">
        <v>45</v>
      </c>
      <c r="CO96" s="96" t="s">
        <v>73</v>
      </c>
    </row>
    <row r="97" spans="1:93" s="106" customFormat="1" ht="66" customHeight="1">
      <c r="A97" s="408"/>
      <c r="B97" s="417"/>
      <c r="C97" s="417"/>
      <c r="D97" s="417"/>
      <c r="E97" s="22"/>
      <c r="F97" s="22"/>
      <c r="G97" s="410"/>
      <c r="H97" s="418"/>
      <c r="I97" s="68"/>
      <c r="J97" s="56"/>
      <c r="K97" s="68"/>
      <c r="L97" s="69"/>
      <c r="M97" s="408"/>
      <c r="N97" s="408"/>
      <c r="O97" s="426"/>
      <c r="P97" s="59"/>
      <c r="Q97" s="408"/>
      <c r="R97" s="408"/>
      <c r="S97" s="423"/>
      <c r="T97" s="174"/>
      <c r="U97" s="176"/>
      <c r="V97" s="177"/>
      <c r="W97" s="176"/>
      <c r="X97" s="103"/>
      <c r="Y97" s="105"/>
      <c r="Z97" s="105"/>
      <c r="CH97" s="95" t="s">
        <v>62</v>
      </c>
      <c r="CI97" s="95" t="s">
        <v>247</v>
      </c>
      <c r="CJ97" s="96" t="s">
        <v>71</v>
      </c>
      <c r="CK97" s="97" t="s">
        <v>89</v>
      </c>
      <c r="CL97" s="97" t="s">
        <v>66</v>
      </c>
      <c r="CM97" s="97" t="s">
        <v>67</v>
      </c>
      <c r="CN97" s="96" t="s">
        <v>45</v>
      </c>
      <c r="CO97" s="96" t="s">
        <v>241</v>
      </c>
    </row>
    <row r="98" spans="1:93" ht="33" customHeight="1">
      <c r="A98" s="408">
        <f>A92+1</f>
        <v>59</v>
      </c>
      <c r="B98" s="417" t="s">
        <v>146</v>
      </c>
      <c r="C98" s="417" t="s">
        <v>69</v>
      </c>
      <c r="D98" s="417" t="s">
        <v>227</v>
      </c>
      <c r="E98" s="22" t="s">
        <v>172</v>
      </c>
      <c r="F98" s="22" t="s">
        <v>51</v>
      </c>
      <c r="G98" s="410">
        <v>870</v>
      </c>
      <c r="H98" s="418">
        <v>14.913</v>
      </c>
      <c r="I98" s="68"/>
      <c r="J98" s="56">
        <v>0.122</v>
      </c>
      <c r="K98" s="68"/>
      <c r="L98" s="69"/>
      <c r="M98" s="408">
        <v>17</v>
      </c>
      <c r="N98" s="408">
        <v>2</v>
      </c>
      <c r="O98" s="426">
        <v>1740</v>
      </c>
      <c r="P98" s="59">
        <f>1712+166</f>
        <v>1878</v>
      </c>
      <c r="Q98" s="408">
        <v>1103</v>
      </c>
      <c r="R98" s="408" t="s">
        <v>140</v>
      </c>
      <c r="S98" s="423"/>
      <c r="T98" s="166"/>
      <c r="U98" s="63"/>
      <c r="V98" s="64"/>
      <c r="W98" s="65"/>
      <c r="X98" s="63"/>
      <c r="Y98" s="65"/>
      <c r="Z98" s="65"/>
      <c r="CH98" s="95" t="s">
        <v>62</v>
      </c>
      <c r="CI98" s="95" t="s">
        <v>248</v>
      </c>
      <c r="CJ98" s="96" t="s">
        <v>71</v>
      </c>
      <c r="CK98" s="97" t="s">
        <v>65</v>
      </c>
      <c r="CL98" s="97" t="s">
        <v>66</v>
      </c>
      <c r="CM98" s="97" t="s">
        <v>67</v>
      </c>
      <c r="CN98" s="96" t="s">
        <v>45</v>
      </c>
      <c r="CO98" s="96"/>
    </row>
    <row r="99" spans="1:93" ht="33" customHeight="1">
      <c r="A99" s="408"/>
      <c r="B99" s="417"/>
      <c r="C99" s="417"/>
      <c r="D99" s="417"/>
      <c r="E99" s="22"/>
      <c r="F99" s="22"/>
      <c r="G99" s="410"/>
      <c r="H99" s="418"/>
      <c r="I99" s="68"/>
      <c r="J99" s="56"/>
      <c r="K99" s="68"/>
      <c r="L99" s="69"/>
      <c r="M99" s="408"/>
      <c r="N99" s="408"/>
      <c r="O99" s="426"/>
      <c r="P99" s="59"/>
      <c r="Q99" s="408"/>
      <c r="R99" s="408"/>
      <c r="S99" s="423"/>
      <c r="T99" s="166"/>
      <c r="U99" s="63"/>
      <c r="V99" s="64"/>
      <c r="W99" s="65"/>
      <c r="X99" s="63"/>
      <c r="Y99" s="65"/>
      <c r="Z99" s="65"/>
      <c r="CH99" s="95" t="s">
        <v>62</v>
      </c>
      <c r="CI99" s="95" t="s">
        <v>249</v>
      </c>
      <c r="CJ99" s="96" t="s">
        <v>64</v>
      </c>
      <c r="CK99" s="97" t="s">
        <v>85</v>
      </c>
      <c r="CL99" s="97" t="s">
        <v>66</v>
      </c>
      <c r="CM99" s="97" t="s">
        <v>67</v>
      </c>
      <c r="CN99" s="96" t="s">
        <v>45</v>
      </c>
      <c r="CO99" s="96"/>
    </row>
    <row r="100" spans="1:93" ht="33" customHeight="1">
      <c r="A100" s="22">
        <f>A98+1</f>
        <v>60</v>
      </c>
      <c r="B100" s="71" t="s">
        <v>250</v>
      </c>
      <c r="C100" s="169" t="s">
        <v>224</v>
      </c>
      <c r="D100" s="52" t="s">
        <v>251</v>
      </c>
      <c r="E100" s="22" t="s">
        <v>172</v>
      </c>
      <c r="F100" s="22" t="s">
        <v>50</v>
      </c>
      <c r="G100" s="67">
        <v>2019</v>
      </c>
      <c r="H100" s="55">
        <v>27.313</v>
      </c>
      <c r="I100" s="68"/>
      <c r="J100" s="56">
        <v>1.8</v>
      </c>
      <c r="K100" s="68"/>
      <c r="L100" s="200">
        <v>1.8</v>
      </c>
      <c r="M100" s="71">
        <v>27.3</v>
      </c>
      <c r="N100" s="71">
        <v>2</v>
      </c>
      <c r="O100" s="60">
        <v>2336</v>
      </c>
      <c r="P100" s="59">
        <f>214+2122</f>
        <v>2336</v>
      </c>
      <c r="Q100" s="71"/>
      <c r="R100" s="71"/>
      <c r="S100" s="72"/>
      <c r="T100" s="166"/>
      <c r="U100" s="63"/>
      <c r="V100" s="64"/>
      <c r="W100" s="65"/>
      <c r="X100" s="63"/>
      <c r="Y100" s="65"/>
      <c r="Z100" s="65"/>
      <c r="CH100" s="46" t="s">
        <v>52</v>
      </c>
      <c r="CI100" s="46"/>
      <c r="CJ100" s="46"/>
      <c r="CK100" s="46"/>
      <c r="CL100" s="46"/>
      <c r="CM100" s="46"/>
      <c r="CN100" s="46"/>
      <c r="CO100" s="46"/>
    </row>
    <row r="101" spans="1:93" ht="54" customHeight="1">
      <c r="A101" s="408">
        <f>A100+1</f>
        <v>61</v>
      </c>
      <c r="B101" s="417" t="s">
        <v>252</v>
      </c>
      <c r="C101" s="417" t="s">
        <v>96</v>
      </c>
      <c r="D101" s="417" t="s">
        <v>235</v>
      </c>
      <c r="E101" s="22" t="s">
        <v>172</v>
      </c>
      <c r="F101" s="22" t="s">
        <v>51</v>
      </c>
      <c r="G101" s="410">
        <v>2127</v>
      </c>
      <c r="H101" s="418">
        <v>29.547</v>
      </c>
      <c r="I101" s="68"/>
      <c r="J101" s="56"/>
      <c r="K101" s="68"/>
      <c r="L101" s="69"/>
      <c r="M101" s="408">
        <v>10.6</v>
      </c>
      <c r="N101" s="408">
        <v>2</v>
      </c>
      <c r="O101" s="426">
        <v>4074</v>
      </c>
      <c r="P101" s="59">
        <f>4074</f>
        <v>4074</v>
      </c>
      <c r="Q101" s="408">
        <v>0</v>
      </c>
      <c r="R101" s="423"/>
      <c r="S101" s="423"/>
      <c r="T101" s="166"/>
      <c r="U101" s="63"/>
      <c r="V101" s="64"/>
      <c r="W101" s="65"/>
      <c r="X101" s="63"/>
      <c r="Y101" s="63"/>
      <c r="Z101" s="65"/>
      <c r="CH101" s="95" t="s">
        <v>62</v>
      </c>
      <c r="CI101" s="95" t="s">
        <v>253</v>
      </c>
      <c r="CJ101" s="96" t="s">
        <v>64</v>
      </c>
      <c r="CK101" s="97" t="s">
        <v>130</v>
      </c>
      <c r="CL101" s="97" t="s">
        <v>66</v>
      </c>
      <c r="CM101" s="97" t="s">
        <v>67</v>
      </c>
      <c r="CN101" s="96" t="s">
        <v>45</v>
      </c>
      <c r="CO101" s="96"/>
    </row>
    <row r="102" spans="1:93" ht="54" customHeight="1">
      <c r="A102" s="408"/>
      <c r="B102" s="417"/>
      <c r="C102" s="417"/>
      <c r="D102" s="417"/>
      <c r="E102" s="22"/>
      <c r="F102" s="22"/>
      <c r="G102" s="410"/>
      <c r="H102" s="418"/>
      <c r="I102" s="68"/>
      <c r="J102" s="56"/>
      <c r="K102" s="68"/>
      <c r="L102" s="69"/>
      <c r="M102" s="408"/>
      <c r="N102" s="408"/>
      <c r="O102" s="426"/>
      <c r="P102" s="59"/>
      <c r="Q102" s="408"/>
      <c r="R102" s="423"/>
      <c r="S102" s="423"/>
      <c r="T102" s="166"/>
      <c r="U102" s="63"/>
      <c r="V102" s="64"/>
      <c r="W102" s="65"/>
      <c r="X102" s="63"/>
      <c r="Y102" s="63"/>
      <c r="Z102" s="65"/>
      <c r="CH102" s="95" t="s">
        <v>62</v>
      </c>
      <c r="CI102" s="95" t="s">
        <v>254</v>
      </c>
      <c r="CJ102" s="96" t="s">
        <v>64</v>
      </c>
      <c r="CK102" s="97" t="s">
        <v>130</v>
      </c>
      <c r="CL102" s="97" t="s">
        <v>66</v>
      </c>
      <c r="CM102" s="97" t="s">
        <v>67</v>
      </c>
      <c r="CN102" s="96" t="s">
        <v>45</v>
      </c>
      <c r="CO102" s="96"/>
    </row>
    <row r="103" spans="1:93" ht="54" customHeight="1">
      <c r="A103" s="408"/>
      <c r="B103" s="417"/>
      <c r="C103" s="417"/>
      <c r="D103" s="417"/>
      <c r="E103" s="22"/>
      <c r="F103" s="22"/>
      <c r="G103" s="410"/>
      <c r="H103" s="418"/>
      <c r="I103" s="68"/>
      <c r="J103" s="56"/>
      <c r="K103" s="68"/>
      <c r="L103" s="69"/>
      <c r="M103" s="408"/>
      <c r="N103" s="408"/>
      <c r="O103" s="426"/>
      <c r="P103" s="59"/>
      <c r="Q103" s="408"/>
      <c r="R103" s="423"/>
      <c r="S103" s="423"/>
      <c r="T103" s="166"/>
      <c r="U103" s="63"/>
      <c r="V103" s="64"/>
      <c r="W103" s="65"/>
      <c r="X103" s="63"/>
      <c r="Y103" s="63"/>
      <c r="Z103" s="65"/>
      <c r="CH103" s="95" t="s">
        <v>62</v>
      </c>
      <c r="CI103" s="201" t="s">
        <v>255</v>
      </c>
      <c r="CJ103" s="96" t="s">
        <v>64</v>
      </c>
      <c r="CK103" s="97" t="s">
        <v>130</v>
      </c>
      <c r="CL103" s="97" t="s">
        <v>66</v>
      </c>
      <c r="CM103" s="97" t="s">
        <v>67</v>
      </c>
      <c r="CN103" s="96" t="s">
        <v>45</v>
      </c>
      <c r="CO103" s="96"/>
    </row>
    <row r="104" spans="1:93" ht="54" customHeight="1">
      <c r="A104" s="408"/>
      <c r="B104" s="417"/>
      <c r="C104" s="417"/>
      <c r="D104" s="417"/>
      <c r="E104" s="22"/>
      <c r="F104" s="22"/>
      <c r="G104" s="410"/>
      <c r="H104" s="418"/>
      <c r="I104" s="68"/>
      <c r="J104" s="56"/>
      <c r="K104" s="68"/>
      <c r="L104" s="69"/>
      <c r="M104" s="408"/>
      <c r="N104" s="408"/>
      <c r="O104" s="426"/>
      <c r="P104" s="59"/>
      <c r="Q104" s="408"/>
      <c r="R104" s="423"/>
      <c r="S104" s="423"/>
      <c r="T104" s="166"/>
      <c r="U104" s="63"/>
      <c r="V104" s="64"/>
      <c r="W104" s="65"/>
      <c r="X104" s="63"/>
      <c r="Y104" s="63"/>
      <c r="Z104" s="65"/>
      <c r="CH104" s="95" t="s">
        <v>62</v>
      </c>
      <c r="CI104" s="149" t="s">
        <v>256</v>
      </c>
      <c r="CJ104" s="96" t="s">
        <v>64</v>
      </c>
      <c r="CK104" s="97" t="s">
        <v>130</v>
      </c>
      <c r="CL104" s="97" t="s">
        <v>66</v>
      </c>
      <c r="CM104" s="97" t="s">
        <v>67</v>
      </c>
      <c r="CN104" s="96" t="s">
        <v>45</v>
      </c>
      <c r="CO104" s="96"/>
    </row>
    <row r="105" spans="1:93" ht="54" customHeight="1">
      <c r="A105" s="408"/>
      <c r="B105" s="417"/>
      <c r="C105" s="417"/>
      <c r="D105" s="417"/>
      <c r="E105" s="22"/>
      <c r="F105" s="22"/>
      <c r="G105" s="410"/>
      <c r="H105" s="418"/>
      <c r="I105" s="68"/>
      <c r="J105" s="56"/>
      <c r="K105" s="68"/>
      <c r="L105" s="69"/>
      <c r="M105" s="408"/>
      <c r="N105" s="408"/>
      <c r="O105" s="426"/>
      <c r="P105" s="59"/>
      <c r="Q105" s="408"/>
      <c r="R105" s="423"/>
      <c r="S105" s="423"/>
      <c r="T105" s="166"/>
      <c r="U105" s="63"/>
      <c r="V105" s="64"/>
      <c r="W105" s="65"/>
      <c r="X105" s="63"/>
      <c r="Y105" s="63"/>
      <c r="Z105" s="65"/>
      <c r="CH105" s="95" t="s">
        <v>62</v>
      </c>
      <c r="CI105" s="149" t="s">
        <v>257</v>
      </c>
      <c r="CJ105" s="96" t="s">
        <v>64</v>
      </c>
      <c r="CK105" s="97" t="s">
        <v>130</v>
      </c>
      <c r="CL105" s="97" t="s">
        <v>66</v>
      </c>
      <c r="CM105" s="97" t="s">
        <v>67</v>
      </c>
      <c r="CN105" s="96" t="s">
        <v>45</v>
      </c>
      <c r="CO105" s="96"/>
    </row>
    <row r="106" spans="1:93" ht="54" customHeight="1">
      <c r="A106" s="408"/>
      <c r="B106" s="417"/>
      <c r="C106" s="417"/>
      <c r="D106" s="417"/>
      <c r="E106" s="22"/>
      <c r="F106" s="22"/>
      <c r="G106" s="410"/>
      <c r="H106" s="418"/>
      <c r="I106" s="68"/>
      <c r="J106" s="56"/>
      <c r="K106" s="68"/>
      <c r="L106" s="69"/>
      <c r="M106" s="408"/>
      <c r="N106" s="408"/>
      <c r="O106" s="426"/>
      <c r="P106" s="59"/>
      <c r="Q106" s="408"/>
      <c r="R106" s="423"/>
      <c r="S106" s="423"/>
      <c r="T106" s="166"/>
      <c r="U106" s="63"/>
      <c r="V106" s="64"/>
      <c r="W106" s="65"/>
      <c r="X106" s="63"/>
      <c r="Y106" s="63"/>
      <c r="Z106" s="65"/>
      <c r="CH106" s="95" t="s">
        <v>62</v>
      </c>
      <c r="CI106" s="95" t="s">
        <v>258</v>
      </c>
      <c r="CJ106" s="96" t="s">
        <v>71</v>
      </c>
      <c r="CK106" s="97" t="s">
        <v>130</v>
      </c>
      <c r="CL106" s="97" t="s">
        <v>66</v>
      </c>
      <c r="CM106" s="97" t="s">
        <v>67</v>
      </c>
      <c r="CN106" s="96" t="s">
        <v>45</v>
      </c>
      <c r="CO106" s="96"/>
    </row>
    <row r="107" spans="1:93" ht="54" customHeight="1">
      <c r="A107" s="408"/>
      <c r="B107" s="417"/>
      <c r="C107" s="417"/>
      <c r="D107" s="417"/>
      <c r="E107" s="22"/>
      <c r="F107" s="22"/>
      <c r="G107" s="410"/>
      <c r="H107" s="418"/>
      <c r="I107" s="68"/>
      <c r="J107" s="56"/>
      <c r="K107" s="68"/>
      <c r="L107" s="69"/>
      <c r="M107" s="408"/>
      <c r="N107" s="408"/>
      <c r="O107" s="426"/>
      <c r="P107" s="59"/>
      <c r="Q107" s="408"/>
      <c r="R107" s="423"/>
      <c r="S107" s="423"/>
      <c r="T107" s="166"/>
      <c r="U107" s="63"/>
      <c r="V107" s="64"/>
      <c r="W107" s="65"/>
      <c r="X107" s="63"/>
      <c r="Y107" s="63"/>
      <c r="Z107" s="65"/>
      <c r="CH107" s="95" t="s">
        <v>62</v>
      </c>
      <c r="CI107" s="95" t="s">
        <v>259</v>
      </c>
      <c r="CJ107" s="96" t="s">
        <v>71</v>
      </c>
      <c r="CK107" s="97" t="s">
        <v>130</v>
      </c>
      <c r="CL107" s="97" t="s">
        <v>66</v>
      </c>
      <c r="CM107" s="97" t="s">
        <v>67</v>
      </c>
      <c r="CN107" s="96" t="s">
        <v>45</v>
      </c>
      <c r="CO107" s="96"/>
    </row>
    <row r="108" spans="1:93" ht="54" customHeight="1">
      <c r="A108" s="408"/>
      <c r="B108" s="417"/>
      <c r="C108" s="417"/>
      <c r="D108" s="417"/>
      <c r="E108" s="22"/>
      <c r="F108" s="22"/>
      <c r="G108" s="410"/>
      <c r="H108" s="418"/>
      <c r="I108" s="68"/>
      <c r="J108" s="56"/>
      <c r="K108" s="68"/>
      <c r="L108" s="69"/>
      <c r="M108" s="408"/>
      <c r="N108" s="408"/>
      <c r="O108" s="426"/>
      <c r="P108" s="59"/>
      <c r="Q108" s="408"/>
      <c r="R108" s="423"/>
      <c r="S108" s="423"/>
      <c r="T108" s="166"/>
      <c r="U108" s="63"/>
      <c r="V108" s="64"/>
      <c r="W108" s="65"/>
      <c r="X108" s="63"/>
      <c r="Y108" s="63"/>
      <c r="Z108" s="65"/>
      <c r="CH108" s="95" t="s">
        <v>62</v>
      </c>
      <c r="CI108" s="95" t="s">
        <v>260</v>
      </c>
      <c r="CJ108" s="96" t="s">
        <v>71</v>
      </c>
      <c r="CK108" s="97" t="s">
        <v>130</v>
      </c>
      <c r="CL108" s="97" t="s">
        <v>66</v>
      </c>
      <c r="CM108" s="97" t="s">
        <v>67</v>
      </c>
      <c r="CN108" s="96" t="s">
        <v>45</v>
      </c>
      <c r="CO108" s="96"/>
    </row>
    <row r="109" spans="1:93" ht="54" customHeight="1">
      <c r="A109" s="408"/>
      <c r="B109" s="417"/>
      <c r="C109" s="417"/>
      <c r="D109" s="417"/>
      <c r="E109" s="22"/>
      <c r="F109" s="22"/>
      <c r="G109" s="410"/>
      <c r="H109" s="418"/>
      <c r="I109" s="68"/>
      <c r="J109" s="56"/>
      <c r="K109" s="68"/>
      <c r="L109" s="69"/>
      <c r="M109" s="408"/>
      <c r="N109" s="408"/>
      <c r="O109" s="426"/>
      <c r="P109" s="59"/>
      <c r="Q109" s="408"/>
      <c r="R109" s="423"/>
      <c r="S109" s="423"/>
      <c r="T109" s="166"/>
      <c r="U109" s="63"/>
      <c r="V109" s="64"/>
      <c r="W109" s="65"/>
      <c r="X109" s="63"/>
      <c r="Y109" s="63"/>
      <c r="Z109" s="65"/>
      <c r="CH109" s="95" t="s">
        <v>62</v>
      </c>
      <c r="CI109" s="95" t="s">
        <v>261</v>
      </c>
      <c r="CJ109" s="96" t="s">
        <v>71</v>
      </c>
      <c r="CK109" s="97" t="s">
        <v>130</v>
      </c>
      <c r="CL109" s="97" t="s">
        <v>66</v>
      </c>
      <c r="CM109" s="97" t="s">
        <v>67</v>
      </c>
      <c r="CN109" s="96" t="s">
        <v>45</v>
      </c>
      <c r="CO109" s="96"/>
    </row>
    <row r="110" spans="1:93" ht="54" customHeight="1">
      <c r="A110" s="408"/>
      <c r="B110" s="417"/>
      <c r="C110" s="417"/>
      <c r="D110" s="417"/>
      <c r="E110" s="22"/>
      <c r="F110" s="22"/>
      <c r="G110" s="410"/>
      <c r="H110" s="418"/>
      <c r="I110" s="68"/>
      <c r="J110" s="56"/>
      <c r="K110" s="68"/>
      <c r="L110" s="69"/>
      <c r="M110" s="408"/>
      <c r="N110" s="408"/>
      <c r="O110" s="426"/>
      <c r="P110" s="59"/>
      <c r="Q110" s="408"/>
      <c r="R110" s="423"/>
      <c r="S110" s="423"/>
      <c r="T110" s="166"/>
      <c r="U110" s="63"/>
      <c r="V110" s="64"/>
      <c r="W110" s="65"/>
      <c r="X110" s="63"/>
      <c r="Y110" s="63"/>
      <c r="Z110" s="65"/>
      <c r="CH110" s="95" t="s">
        <v>62</v>
      </c>
      <c r="CI110" s="95" t="s">
        <v>262</v>
      </c>
      <c r="CJ110" s="96" t="s">
        <v>71</v>
      </c>
      <c r="CK110" s="97" t="s">
        <v>130</v>
      </c>
      <c r="CL110" s="97" t="s">
        <v>66</v>
      </c>
      <c r="CM110" s="97" t="s">
        <v>67</v>
      </c>
      <c r="CN110" s="96" t="s">
        <v>45</v>
      </c>
      <c r="CO110" s="96"/>
    </row>
    <row r="111" spans="1:93" ht="54" customHeight="1">
      <c r="A111" s="408"/>
      <c r="B111" s="417"/>
      <c r="C111" s="417"/>
      <c r="D111" s="417"/>
      <c r="E111" s="22"/>
      <c r="F111" s="22"/>
      <c r="G111" s="410"/>
      <c r="H111" s="418"/>
      <c r="I111" s="68"/>
      <c r="J111" s="56"/>
      <c r="K111" s="68"/>
      <c r="L111" s="69"/>
      <c r="M111" s="408"/>
      <c r="N111" s="408"/>
      <c r="O111" s="426"/>
      <c r="P111" s="59"/>
      <c r="Q111" s="408"/>
      <c r="R111" s="423"/>
      <c r="S111" s="423"/>
      <c r="T111" s="166"/>
      <c r="U111" s="63"/>
      <c r="V111" s="64"/>
      <c r="W111" s="65"/>
      <c r="X111" s="63"/>
      <c r="Y111" s="63"/>
      <c r="Z111" s="65"/>
      <c r="CH111" s="95" t="s">
        <v>87</v>
      </c>
      <c r="CI111" s="95" t="s">
        <v>263</v>
      </c>
      <c r="CJ111" s="96" t="s">
        <v>71</v>
      </c>
      <c r="CK111" s="97" t="s">
        <v>130</v>
      </c>
      <c r="CL111" s="97" t="s">
        <v>264</v>
      </c>
      <c r="CM111" s="97" t="s">
        <v>45</v>
      </c>
      <c r="CN111" s="96" t="s">
        <v>45</v>
      </c>
      <c r="CO111" s="96" t="s">
        <v>90</v>
      </c>
    </row>
    <row r="112" spans="1:93" ht="54" customHeight="1">
      <c r="A112" s="202"/>
      <c r="B112" s="195" t="s">
        <v>265</v>
      </c>
      <c r="C112" s="195" t="s">
        <v>184</v>
      </c>
      <c r="D112" s="195" t="s">
        <v>144</v>
      </c>
      <c r="E112" s="22" t="s">
        <v>172</v>
      </c>
      <c r="F112" s="22"/>
      <c r="G112" s="203"/>
      <c r="H112" s="197"/>
      <c r="I112" s="68"/>
      <c r="J112" s="56"/>
      <c r="K112" s="68"/>
      <c r="L112" s="69"/>
      <c r="M112" s="202"/>
      <c r="N112" s="202"/>
      <c r="O112" s="204"/>
      <c r="P112" s="59"/>
      <c r="Q112" s="202"/>
      <c r="R112" s="202"/>
      <c r="S112" s="205"/>
      <c r="T112" s="166"/>
      <c r="U112" s="63"/>
      <c r="V112" s="64"/>
      <c r="W112" s="65"/>
      <c r="X112" s="63"/>
      <c r="Y112" s="63"/>
      <c r="Z112" s="65"/>
      <c r="CH112" s="46" t="s">
        <v>42</v>
      </c>
      <c r="CI112" s="95" t="s">
        <v>266</v>
      </c>
      <c r="CJ112" s="96" t="s">
        <v>64</v>
      </c>
      <c r="CK112" s="97" t="s">
        <v>72</v>
      </c>
      <c r="CL112" s="97" t="s">
        <v>66</v>
      </c>
      <c r="CM112" s="97" t="s">
        <v>45</v>
      </c>
      <c r="CN112" s="96" t="s">
        <v>45</v>
      </c>
      <c r="CO112" s="46" t="s">
        <v>42</v>
      </c>
    </row>
    <row r="113" spans="1:93" ht="33" customHeight="1">
      <c r="A113" s="408">
        <f>A101+1</f>
        <v>62</v>
      </c>
      <c r="B113" s="417" t="s">
        <v>265</v>
      </c>
      <c r="C113" s="417" t="s">
        <v>184</v>
      </c>
      <c r="D113" s="417" t="s">
        <v>144</v>
      </c>
      <c r="E113" s="22" t="s">
        <v>172</v>
      </c>
      <c r="F113" s="22" t="s">
        <v>51</v>
      </c>
      <c r="G113" s="410">
        <v>945</v>
      </c>
      <c r="H113" s="418">
        <v>11.002</v>
      </c>
      <c r="I113" s="68"/>
      <c r="J113" s="56"/>
      <c r="K113" s="68"/>
      <c r="L113" s="69"/>
      <c r="M113" s="408">
        <v>11.3</v>
      </c>
      <c r="N113" s="408">
        <v>2</v>
      </c>
      <c r="O113" s="426">
        <v>1890</v>
      </c>
      <c r="P113" s="59">
        <f>1909+664</f>
        <v>2573</v>
      </c>
      <c r="Q113" s="408">
        <v>242.3</v>
      </c>
      <c r="R113" s="408" t="s">
        <v>114</v>
      </c>
      <c r="S113" s="423"/>
      <c r="T113" s="166"/>
      <c r="U113" s="63"/>
      <c r="V113" s="64"/>
      <c r="W113" s="65"/>
      <c r="X113" s="63"/>
      <c r="Y113" s="63"/>
      <c r="Z113" s="65"/>
      <c r="CH113" s="95" t="s">
        <v>62</v>
      </c>
      <c r="CI113" s="95" t="s">
        <v>266</v>
      </c>
      <c r="CJ113" s="96" t="s">
        <v>71</v>
      </c>
      <c r="CK113" s="97" t="s">
        <v>176</v>
      </c>
      <c r="CL113" s="97" t="s">
        <v>66</v>
      </c>
      <c r="CM113" s="97" t="s">
        <v>67</v>
      </c>
      <c r="CN113" s="96" t="s">
        <v>45</v>
      </c>
      <c r="CO113" s="96"/>
    </row>
    <row r="114" spans="1:93" ht="33" customHeight="1">
      <c r="A114" s="408"/>
      <c r="B114" s="417"/>
      <c r="C114" s="417"/>
      <c r="D114" s="417"/>
      <c r="E114" s="22"/>
      <c r="F114" s="22"/>
      <c r="G114" s="410"/>
      <c r="H114" s="418"/>
      <c r="I114" s="68"/>
      <c r="J114" s="56"/>
      <c r="K114" s="68"/>
      <c r="L114" s="69"/>
      <c r="M114" s="408"/>
      <c r="N114" s="408"/>
      <c r="O114" s="426"/>
      <c r="P114" s="59"/>
      <c r="Q114" s="408"/>
      <c r="R114" s="408"/>
      <c r="S114" s="423"/>
      <c r="T114" s="166"/>
      <c r="U114" s="63"/>
      <c r="V114" s="64"/>
      <c r="W114" s="65"/>
      <c r="X114" s="63"/>
      <c r="Y114" s="63"/>
      <c r="Z114" s="65"/>
      <c r="CH114" s="149" t="s">
        <v>87</v>
      </c>
      <c r="CI114" s="95" t="s">
        <v>267</v>
      </c>
      <c r="CJ114" s="96" t="s">
        <v>64</v>
      </c>
      <c r="CK114" s="97" t="s">
        <v>89</v>
      </c>
      <c r="CL114" s="97" t="s">
        <v>66</v>
      </c>
      <c r="CM114" s="97" t="s">
        <v>45</v>
      </c>
      <c r="CN114" s="96" t="s">
        <v>45</v>
      </c>
      <c r="CO114" s="96" t="s">
        <v>90</v>
      </c>
    </row>
    <row r="115" spans="1:93" s="106" customFormat="1" ht="33.75" customHeight="1">
      <c r="A115" s="22">
        <f>A113+1</f>
        <v>63</v>
      </c>
      <c r="B115" s="71" t="s">
        <v>268</v>
      </c>
      <c r="C115" s="169" t="s">
        <v>269</v>
      </c>
      <c r="D115" s="52" t="s">
        <v>270</v>
      </c>
      <c r="E115" s="22" t="s">
        <v>172</v>
      </c>
      <c r="F115" s="22" t="s">
        <v>51</v>
      </c>
      <c r="G115" s="67">
        <v>1086</v>
      </c>
      <c r="H115" s="55">
        <v>17.503</v>
      </c>
      <c r="I115" s="68"/>
      <c r="J115" s="56"/>
      <c r="K115" s="68"/>
      <c r="L115" s="69"/>
      <c r="M115" s="71">
        <v>13.7</v>
      </c>
      <c r="N115" s="71">
        <v>4</v>
      </c>
      <c r="O115" s="60">
        <v>4126</v>
      </c>
      <c r="P115" s="59">
        <f>2025+2101</f>
        <v>4126</v>
      </c>
      <c r="Q115" s="71">
        <v>0</v>
      </c>
      <c r="R115" s="71" t="s">
        <v>61</v>
      </c>
      <c r="S115" s="72"/>
      <c r="T115" s="174"/>
      <c r="U115" s="176"/>
      <c r="V115" s="177"/>
      <c r="W115" s="115"/>
      <c r="X115" s="103"/>
      <c r="Y115" s="105"/>
      <c r="Z115" s="105"/>
      <c r="CH115" s="46" t="s">
        <v>52</v>
      </c>
      <c r="CI115" s="136"/>
      <c r="CJ115" s="136"/>
      <c r="CK115" s="136"/>
      <c r="CL115" s="136"/>
      <c r="CM115" s="136"/>
      <c r="CN115" s="136"/>
      <c r="CO115" s="136"/>
    </row>
    <row r="116" spans="1:93" ht="30.75" customHeight="1">
      <c r="A116" s="22">
        <f>A115+1</f>
        <v>64</v>
      </c>
      <c r="B116" s="71" t="s">
        <v>271</v>
      </c>
      <c r="C116" s="190" t="s">
        <v>121</v>
      </c>
      <c r="D116" s="52" t="s">
        <v>272</v>
      </c>
      <c r="E116" s="22" t="s">
        <v>172</v>
      </c>
      <c r="F116" s="22" t="s">
        <v>51</v>
      </c>
      <c r="G116" s="67">
        <v>2096</v>
      </c>
      <c r="H116" s="55">
        <v>23.376</v>
      </c>
      <c r="I116" s="68"/>
      <c r="J116" s="123">
        <v>0.154</v>
      </c>
      <c r="K116" s="68"/>
      <c r="L116" s="69"/>
      <c r="M116" s="206">
        <v>10.9</v>
      </c>
      <c r="N116" s="71">
        <v>2</v>
      </c>
      <c r="O116" s="60">
        <v>4192</v>
      </c>
      <c r="P116" s="59">
        <f>3654+1083</f>
        <v>4737</v>
      </c>
      <c r="Q116" s="71">
        <v>0</v>
      </c>
      <c r="R116" s="71"/>
      <c r="S116" s="72">
        <v>16.83</v>
      </c>
      <c r="T116" s="166"/>
      <c r="U116" s="63"/>
      <c r="V116" s="64"/>
      <c r="W116" s="65"/>
      <c r="X116" s="63"/>
      <c r="Y116" s="65"/>
      <c r="Z116" s="65"/>
      <c r="CH116" s="46" t="s">
        <v>52</v>
      </c>
      <c r="CI116" s="46"/>
      <c r="CJ116" s="46"/>
      <c r="CK116" s="46"/>
      <c r="CL116" s="46"/>
      <c r="CM116" s="46"/>
      <c r="CN116" s="46"/>
      <c r="CO116" s="46"/>
    </row>
    <row r="117" spans="1:95" s="106" customFormat="1" ht="94.5">
      <c r="A117" s="134">
        <f>A116+1</f>
        <v>65</v>
      </c>
      <c r="B117" s="417" t="s">
        <v>200</v>
      </c>
      <c r="C117" s="417" t="s">
        <v>199</v>
      </c>
      <c r="D117" s="417" t="s">
        <v>121</v>
      </c>
      <c r="E117" s="408" t="s">
        <v>172</v>
      </c>
      <c r="F117" s="22" t="s">
        <v>51</v>
      </c>
      <c r="G117" s="410">
        <v>2426</v>
      </c>
      <c r="H117" s="418">
        <v>27.496</v>
      </c>
      <c r="I117" s="124"/>
      <c r="J117" s="68"/>
      <c r="K117" s="126"/>
      <c r="L117" s="101"/>
      <c r="M117" s="408">
        <v>11.33</v>
      </c>
      <c r="N117" s="408">
        <v>2</v>
      </c>
      <c r="O117" s="421">
        <v>4852</v>
      </c>
      <c r="P117" s="71">
        <f>2800+2280</f>
        <v>5080</v>
      </c>
      <c r="Q117" s="422">
        <v>0</v>
      </c>
      <c r="R117" s="408" t="s">
        <v>51</v>
      </c>
      <c r="S117" s="423"/>
      <c r="T117" s="174"/>
      <c r="U117" s="103"/>
      <c r="V117" s="104"/>
      <c r="W117" s="105"/>
      <c r="X117" s="103"/>
      <c r="Y117" s="105"/>
      <c r="Z117" s="105"/>
      <c r="CH117" s="95" t="s">
        <v>62</v>
      </c>
      <c r="CI117" s="95" t="s">
        <v>273</v>
      </c>
      <c r="CJ117" s="96" t="s">
        <v>71</v>
      </c>
      <c r="CK117" s="97" t="s">
        <v>89</v>
      </c>
      <c r="CL117" s="97" t="s">
        <v>66</v>
      </c>
      <c r="CM117" s="97" t="s">
        <v>67</v>
      </c>
      <c r="CN117" s="96" t="s">
        <v>45</v>
      </c>
      <c r="CO117" s="96" t="s">
        <v>274</v>
      </c>
      <c r="CP117" s="207"/>
      <c r="CQ117" s="208"/>
    </row>
    <row r="118" spans="1:95" s="106" customFormat="1" ht="31.5">
      <c r="A118" s="59"/>
      <c r="B118" s="417"/>
      <c r="C118" s="417"/>
      <c r="D118" s="417"/>
      <c r="E118" s="408"/>
      <c r="F118" s="22"/>
      <c r="G118" s="410"/>
      <c r="H118" s="418"/>
      <c r="I118" s="124"/>
      <c r="J118" s="209"/>
      <c r="K118" s="126"/>
      <c r="L118" s="101"/>
      <c r="M118" s="408"/>
      <c r="N118" s="408"/>
      <c r="O118" s="421"/>
      <c r="P118" s="108"/>
      <c r="Q118" s="422"/>
      <c r="R118" s="408"/>
      <c r="S118" s="423"/>
      <c r="T118" s="174"/>
      <c r="U118" s="103"/>
      <c r="V118" s="104"/>
      <c r="W118" s="105"/>
      <c r="X118" s="103"/>
      <c r="Y118" s="105"/>
      <c r="Z118" s="105"/>
      <c r="CH118" s="95" t="s">
        <v>62</v>
      </c>
      <c r="CI118" s="95" t="s">
        <v>275</v>
      </c>
      <c r="CJ118" s="96" t="s">
        <v>64</v>
      </c>
      <c r="CK118" s="97" t="s">
        <v>176</v>
      </c>
      <c r="CL118" s="97" t="s">
        <v>66</v>
      </c>
      <c r="CM118" s="97" t="s">
        <v>67</v>
      </c>
      <c r="CN118" s="96" t="s">
        <v>67</v>
      </c>
      <c r="CO118" s="96"/>
      <c r="CP118" s="210"/>
      <c r="CQ118" s="211"/>
    </row>
    <row r="119" spans="1:93" ht="30.75" customHeight="1">
      <c r="A119" s="22">
        <f>A117+1</f>
        <v>66</v>
      </c>
      <c r="B119" s="71" t="s">
        <v>276</v>
      </c>
      <c r="C119" s="434" t="s">
        <v>277</v>
      </c>
      <c r="D119" s="434"/>
      <c r="E119" s="22" t="s">
        <v>172</v>
      </c>
      <c r="F119" s="22" t="s">
        <v>51</v>
      </c>
      <c r="G119" s="67">
        <v>298</v>
      </c>
      <c r="H119" s="55">
        <v>4.913</v>
      </c>
      <c r="I119" s="68"/>
      <c r="J119" s="56"/>
      <c r="K119" s="68"/>
      <c r="L119" s="69"/>
      <c r="M119" s="71">
        <v>17</v>
      </c>
      <c r="N119" s="71">
        <v>2</v>
      </c>
      <c r="O119" s="60">
        <v>599</v>
      </c>
      <c r="P119" s="59">
        <f>599</f>
        <v>599</v>
      </c>
      <c r="Q119" s="71">
        <v>0</v>
      </c>
      <c r="R119" s="71" t="s">
        <v>278</v>
      </c>
      <c r="S119" s="72"/>
      <c r="T119" s="166"/>
      <c r="U119" s="63"/>
      <c r="V119" s="64"/>
      <c r="W119" s="65"/>
      <c r="X119" s="63"/>
      <c r="Y119" s="65"/>
      <c r="Z119" s="65"/>
      <c r="CH119" s="46" t="s">
        <v>52</v>
      </c>
      <c r="CI119" s="46"/>
      <c r="CJ119" s="46"/>
      <c r="CK119" s="46"/>
      <c r="CL119" s="46"/>
      <c r="CM119" s="46"/>
      <c r="CN119" s="46"/>
      <c r="CO119" s="46"/>
    </row>
    <row r="120" spans="1:93" ht="30.75" customHeight="1">
      <c r="A120" s="22">
        <f>A119+1</f>
        <v>67</v>
      </c>
      <c r="B120" s="71" t="s">
        <v>279</v>
      </c>
      <c r="C120" s="169" t="s">
        <v>280</v>
      </c>
      <c r="D120" s="52" t="s">
        <v>281</v>
      </c>
      <c r="E120" s="22" t="s">
        <v>172</v>
      </c>
      <c r="F120" s="22" t="s">
        <v>51</v>
      </c>
      <c r="G120" s="67">
        <v>630</v>
      </c>
      <c r="H120" s="55">
        <v>13.99</v>
      </c>
      <c r="I120" s="68"/>
      <c r="J120" s="56"/>
      <c r="K120" s="68"/>
      <c r="L120" s="69"/>
      <c r="M120" s="71">
        <v>22</v>
      </c>
      <c r="N120" s="71">
        <v>2</v>
      </c>
      <c r="O120" s="60">
        <v>1260</v>
      </c>
      <c r="P120" s="59">
        <f>1889+971</f>
        <v>2860</v>
      </c>
      <c r="Q120" s="71"/>
      <c r="R120" s="71" t="s">
        <v>51</v>
      </c>
      <c r="S120" s="72"/>
      <c r="T120" s="166"/>
      <c r="U120" s="63"/>
      <c r="V120" s="64"/>
      <c r="W120" s="65"/>
      <c r="X120" s="63"/>
      <c r="Y120" s="65"/>
      <c r="Z120" s="65"/>
      <c r="CH120" s="46" t="s">
        <v>52</v>
      </c>
      <c r="CI120" s="46"/>
      <c r="CJ120" s="46"/>
      <c r="CK120" s="46"/>
      <c r="CL120" s="46"/>
      <c r="CM120" s="46"/>
      <c r="CN120" s="46"/>
      <c r="CO120" s="46"/>
    </row>
    <row r="121" spans="1:93" ht="30.75" customHeight="1">
      <c r="A121" s="22">
        <f>A120+1</f>
        <v>68</v>
      </c>
      <c r="B121" s="71" t="s">
        <v>282</v>
      </c>
      <c r="C121" s="189" t="s">
        <v>283</v>
      </c>
      <c r="D121" s="52" t="s">
        <v>284</v>
      </c>
      <c r="E121" s="22" t="s">
        <v>172</v>
      </c>
      <c r="F121" s="22" t="s">
        <v>51</v>
      </c>
      <c r="G121" s="67">
        <v>1781</v>
      </c>
      <c r="H121" s="55">
        <v>21.866</v>
      </c>
      <c r="I121" s="68"/>
      <c r="J121" s="56">
        <f>0.425+0.079</f>
        <v>0.504</v>
      </c>
      <c r="K121" s="68"/>
      <c r="L121" s="69"/>
      <c r="M121" s="71">
        <v>9.9</v>
      </c>
      <c r="N121" s="71">
        <v>2</v>
      </c>
      <c r="O121" s="60">
        <v>3206</v>
      </c>
      <c r="P121" s="59">
        <f>2064+1142</f>
        <v>3206</v>
      </c>
      <c r="Q121" s="71">
        <v>0</v>
      </c>
      <c r="R121" s="71" t="s">
        <v>278</v>
      </c>
      <c r="S121" s="72"/>
      <c r="T121" s="166"/>
      <c r="U121" s="63"/>
      <c r="V121" s="64"/>
      <c r="W121" s="65"/>
      <c r="X121" s="63"/>
      <c r="Y121" s="65"/>
      <c r="Z121" s="65"/>
      <c r="CH121" s="46" t="s">
        <v>42</v>
      </c>
      <c r="CI121" s="46" t="s">
        <v>285</v>
      </c>
      <c r="CJ121" s="48" t="s">
        <v>43</v>
      </c>
      <c r="CK121" s="46" t="s">
        <v>286</v>
      </c>
      <c r="CL121" s="46" t="s">
        <v>44</v>
      </c>
      <c r="CM121" s="47" t="s">
        <v>45</v>
      </c>
      <c r="CN121" s="47" t="s">
        <v>45</v>
      </c>
      <c r="CO121" s="46" t="s">
        <v>42</v>
      </c>
    </row>
    <row r="122" spans="1:93" ht="30.75" customHeight="1">
      <c r="A122" s="408">
        <f>A121+1</f>
        <v>69</v>
      </c>
      <c r="B122" s="417" t="s">
        <v>287</v>
      </c>
      <c r="C122" s="417" t="s">
        <v>47</v>
      </c>
      <c r="D122" s="417" t="s">
        <v>195</v>
      </c>
      <c r="E122" s="408" t="s">
        <v>172</v>
      </c>
      <c r="F122" s="22" t="s">
        <v>51</v>
      </c>
      <c r="G122" s="410">
        <v>1565</v>
      </c>
      <c r="H122" s="418">
        <v>21.896</v>
      </c>
      <c r="I122" s="68"/>
      <c r="J122" s="56">
        <v>0.061</v>
      </c>
      <c r="K122" s="68"/>
      <c r="L122" s="69"/>
      <c r="M122" s="408">
        <v>9.3</v>
      </c>
      <c r="N122" s="408">
        <v>2</v>
      </c>
      <c r="O122" s="426">
        <v>3068</v>
      </c>
      <c r="P122" s="59">
        <f>3068</f>
        <v>3068</v>
      </c>
      <c r="Q122" s="408">
        <v>0</v>
      </c>
      <c r="R122" s="423"/>
      <c r="S122" s="423"/>
      <c r="T122" s="166"/>
      <c r="U122" s="63"/>
      <c r="V122" s="64"/>
      <c r="W122" s="65"/>
      <c r="X122" s="63"/>
      <c r="Y122" s="65"/>
      <c r="Z122" s="65"/>
      <c r="CH122" s="95" t="s">
        <v>62</v>
      </c>
      <c r="CI122" s="95" t="s">
        <v>288</v>
      </c>
      <c r="CJ122" s="96" t="s">
        <v>71</v>
      </c>
      <c r="CK122" s="97" t="s">
        <v>75</v>
      </c>
      <c r="CL122" s="97" t="s">
        <v>66</v>
      </c>
      <c r="CM122" s="97" t="s">
        <v>67</v>
      </c>
      <c r="CN122" s="96" t="s">
        <v>45</v>
      </c>
      <c r="CO122" s="96"/>
    </row>
    <row r="123" spans="1:93" ht="42" customHeight="1">
      <c r="A123" s="408"/>
      <c r="B123" s="417"/>
      <c r="C123" s="417"/>
      <c r="D123" s="417"/>
      <c r="E123" s="408"/>
      <c r="F123" s="22"/>
      <c r="G123" s="410"/>
      <c r="H123" s="418"/>
      <c r="I123" s="68"/>
      <c r="J123" s="56"/>
      <c r="K123" s="68"/>
      <c r="L123" s="69"/>
      <c r="M123" s="408"/>
      <c r="N123" s="408"/>
      <c r="O123" s="426"/>
      <c r="P123" s="59"/>
      <c r="Q123" s="408"/>
      <c r="R123" s="423"/>
      <c r="S123" s="423"/>
      <c r="T123" s="166"/>
      <c r="U123" s="63"/>
      <c r="V123" s="64"/>
      <c r="W123" s="65"/>
      <c r="X123" s="63"/>
      <c r="Y123" s="65"/>
      <c r="Z123" s="65"/>
      <c r="CH123" s="95" t="s">
        <v>62</v>
      </c>
      <c r="CI123" s="150" t="s">
        <v>289</v>
      </c>
      <c r="CJ123" s="96" t="s">
        <v>64</v>
      </c>
      <c r="CK123" s="97" t="s">
        <v>65</v>
      </c>
      <c r="CL123" s="97" t="s">
        <v>66</v>
      </c>
      <c r="CM123" s="97" t="s">
        <v>67</v>
      </c>
      <c r="CN123" s="96" t="s">
        <v>67</v>
      </c>
      <c r="CO123" s="96"/>
    </row>
    <row r="124" spans="1:93" ht="45.75" customHeight="1">
      <c r="A124" s="408"/>
      <c r="B124" s="417"/>
      <c r="C124" s="417"/>
      <c r="D124" s="417"/>
      <c r="E124" s="408"/>
      <c r="F124" s="22"/>
      <c r="G124" s="410"/>
      <c r="H124" s="418"/>
      <c r="I124" s="68"/>
      <c r="J124" s="56"/>
      <c r="K124" s="68"/>
      <c r="L124" s="69"/>
      <c r="M124" s="408"/>
      <c r="N124" s="408"/>
      <c r="O124" s="426"/>
      <c r="P124" s="59"/>
      <c r="Q124" s="408"/>
      <c r="R124" s="423"/>
      <c r="S124" s="423"/>
      <c r="T124" s="166"/>
      <c r="U124" s="63"/>
      <c r="V124" s="64"/>
      <c r="W124" s="65"/>
      <c r="X124" s="63"/>
      <c r="Y124" s="65"/>
      <c r="Z124" s="65"/>
      <c r="CH124" s="95" t="s">
        <v>62</v>
      </c>
      <c r="CI124" s="150" t="s">
        <v>290</v>
      </c>
      <c r="CJ124" s="96" t="s">
        <v>64</v>
      </c>
      <c r="CK124" s="97" t="s">
        <v>65</v>
      </c>
      <c r="CL124" s="97" t="s">
        <v>66</v>
      </c>
      <c r="CM124" s="97" t="s">
        <v>67</v>
      </c>
      <c r="CN124" s="96" t="s">
        <v>67</v>
      </c>
      <c r="CO124" s="96"/>
    </row>
    <row r="125" spans="1:93" ht="54" customHeight="1">
      <c r="A125" s="408"/>
      <c r="B125" s="417"/>
      <c r="C125" s="417"/>
      <c r="D125" s="417"/>
      <c r="E125" s="408"/>
      <c r="F125" s="22"/>
      <c r="G125" s="410"/>
      <c r="H125" s="418"/>
      <c r="I125" s="68"/>
      <c r="J125" s="56"/>
      <c r="K125" s="68"/>
      <c r="L125" s="69"/>
      <c r="M125" s="408"/>
      <c r="N125" s="408"/>
      <c r="O125" s="426"/>
      <c r="P125" s="59"/>
      <c r="Q125" s="408"/>
      <c r="R125" s="423"/>
      <c r="S125" s="423"/>
      <c r="T125" s="166"/>
      <c r="U125" s="63"/>
      <c r="V125" s="64"/>
      <c r="W125" s="65"/>
      <c r="X125" s="63"/>
      <c r="Y125" s="65"/>
      <c r="Z125" s="65"/>
      <c r="CH125" s="95" t="s">
        <v>62</v>
      </c>
      <c r="CI125" s="150" t="s">
        <v>291</v>
      </c>
      <c r="CJ125" s="96" t="s">
        <v>64</v>
      </c>
      <c r="CK125" s="97" t="s">
        <v>65</v>
      </c>
      <c r="CL125" s="97" t="s">
        <v>66</v>
      </c>
      <c r="CM125" s="97" t="s">
        <v>67</v>
      </c>
      <c r="CN125" s="96" t="s">
        <v>67</v>
      </c>
      <c r="CO125" s="96"/>
    </row>
    <row r="126" spans="1:93" ht="54" customHeight="1">
      <c r="A126" s="408"/>
      <c r="B126" s="417"/>
      <c r="C126" s="417"/>
      <c r="D126" s="417"/>
      <c r="E126" s="30"/>
      <c r="F126" s="22"/>
      <c r="G126" s="410"/>
      <c r="H126" s="418"/>
      <c r="I126" s="68"/>
      <c r="J126" s="56"/>
      <c r="K126" s="68"/>
      <c r="L126" s="69"/>
      <c r="M126" s="408"/>
      <c r="N126" s="408"/>
      <c r="O126" s="426"/>
      <c r="P126" s="59"/>
      <c r="Q126" s="408"/>
      <c r="R126" s="423"/>
      <c r="S126" s="423"/>
      <c r="T126" s="166"/>
      <c r="U126" s="63"/>
      <c r="V126" s="64"/>
      <c r="W126" s="65"/>
      <c r="X126" s="63"/>
      <c r="Y126" s="65"/>
      <c r="Z126" s="65"/>
      <c r="CH126" s="95" t="s">
        <v>62</v>
      </c>
      <c r="CI126" s="95" t="s">
        <v>292</v>
      </c>
      <c r="CJ126" s="96" t="s">
        <v>71</v>
      </c>
      <c r="CK126" s="97" t="s">
        <v>85</v>
      </c>
      <c r="CL126" s="97" t="s">
        <v>66</v>
      </c>
      <c r="CM126" s="97" t="s">
        <v>67</v>
      </c>
      <c r="CN126" s="96" t="s">
        <v>45</v>
      </c>
      <c r="CO126" s="96"/>
    </row>
    <row r="127" spans="1:93" ht="30.75" customHeight="1">
      <c r="A127" s="22">
        <f>A122+1</f>
        <v>70</v>
      </c>
      <c r="B127" s="71" t="s">
        <v>293</v>
      </c>
      <c r="C127" s="169" t="s">
        <v>180</v>
      </c>
      <c r="D127" s="52" t="s">
        <v>82</v>
      </c>
      <c r="E127" s="22" t="s">
        <v>172</v>
      </c>
      <c r="F127" s="22" t="s">
        <v>51</v>
      </c>
      <c r="G127" s="67">
        <v>215</v>
      </c>
      <c r="H127" s="55">
        <v>5.487</v>
      </c>
      <c r="I127" s="68"/>
      <c r="J127" s="56"/>
      <c r="K127" s="68"/>
      <c r="L127" s="69"/>
      <c r="M127" s="71">
        <v>27.7</v>
      </c>
      <c r="N127" s="71">
        <v>2</v>
      </c>
      <c r="O127" s="60">
        <v>430</v>
      </c>
      <c r="P127" s="59">
        <f>435</f>
        <v>435</v>
      </c>
      <c r="Q127" s="71"/>
      <c r="R127" s="71"/>
      <c r="S127" s="72"/>
      <c r="T127" s="166"/>
      <c r="U127" s="63"/>
      <c r="V127" s="64"/>
      <c r="W127" s="65"/>
      <c r="X127" s="63"/>
      <c r="Y127" s="65"/>
      <c r="Z127" s="65"/>
      <c r="CH127" s="46" t="s">
        <v>42</v>
      </c>
      <c r="CI127" s="46" t="s">
        <v>294</v>
      </c>
      <c r="CJ127" s="48" t="s">
        <v>43</v>
      </c>
      <c r="CK127" s="46" t="s">
        <v>295</v>
      </c>
      <c r="CL127" s="46" t="s">
        <v>44</v>
      </c>
      <c r="CM127" s="47" t="s">
        <v>45</v>
      </c>
      <c r="CN127" s="47" t="s">
        <v>45</v>
      </c>
      <c r="CO127" s="46" t="s">
        <v>42</v>
      </c>
    </row>
    <row r="128" spans="1:93" ht="30.75" customHeight="1">
      <c r="A128" s="22">
        <f>A127+1</f>
        <v>71</v>
      </c>
      <c r="B128" s="59" t="s">
        <v>270</v>
      </c>
      <c r="C128" s="187" t="s">
        <v>296</v>
      </c>
      <c r="D128" s="188" t="s">
        <v>250</v>
      </c>
      <c r="E128" s="22" t="s">
        <v>172</v>
      </c>
      <c r="F128" s="30" t="s">
        <v>51</v>
      </c>
      <c r="G128" s="54">
        <v>583</v>
      </c>
      <c r="H128" s="55">
        <v>7.542</v>
      </c>
      <c r="I128" s="56"/>
      <c r="J128" s="56">
        <v>0.343</v>
      </c>
      <c r="K128" s="56"/>
      <c r="L128" s="58"/>
      <c r="M128" s="59">
        <v>12.8</v>
      </c>
      <c r="N128" s="59">
        <v>2</v>
      </c>
      <c r="O128" s="60">
        <v>1166</v>
      </c>
      <c r="P128" s="59">
        <f>1230+943</f>
        <v>2173</v>
      </c>
      <c r="Q128" s="59">
        <v>0</v>
      </c>
      <c r="R128" s="59" t="s">
        <v>61</v>
      </c>
      <c r="S128" s="61"/>
      <c r="T128" s="166"/>
      <c r="U128" s="63"/>
      <c r="V128" s="64"/>
      <c r="W128" s="65"/>
      <c r="X128" s="63"/>
      <c r="Y128" s="65"/>
      <c r="Z128" s="65"/>
      <c r="CH128" s="46"/>
      <c r="CI128" s="46"/>
      <c r="CJ128" s="46"/>
      <c r="CK128" s="46"/>
      <c r="CL128" s="46"/>
      <c r="CM128" s="46"/>
      <c r="CN128" s="46"/>
      <c r="CO128" s="46"/>
    </row>
    <row r="129" spans="1:93" ht="48.75" customHeight="1">
      <c r="A129" s="22">
        <f>A128+1</f>
        <v>72</v>
      </c>
      <c r="B129" s="71" t="s">
        <v>297</v>
      </c>
      <c r="C129" s="169" t="s">
        <v>284</v>
      </c>
      <c r="D129" s="52" t="s">
        <v>298</v>
      </c>
      <c r="E129" s="22" t="s">
        <v>172</v>
      </c>
      <c r="F129" s="22" t="s">
        <v>50</v>
      </c>
      <c r="G129" s="67">
        <v>123</v>
      </c>
      <c r="H129" s="55">
        <v>1.721</v>
      </c>
      <c r="I129" s="140"/>
      <c r="J129" s="56"/>
      <c r="K129" s="140"/>
      <c r="L129" s="69"/>
      <c r="M129" s="71">
        <v>13.7</v>
      </c>
      <c r="N129" s="71">
        <v>2</v>
      </c>
      <c r="O129" s="60">
        <v>246</v>
      </c>
      <c r="P129" s="59">
        <f>243+117</f>
        <v>360</v>
      </c>
      <c r="Q129" s="71"/>
      <c r="R129" s="71"/>
      <c r="S129" s="72"/>
      <c r="T129" s="166"/>
      <c r="U129" s="63"/>
      <c r="V129" s="64"/>
      <c r="W129" s="65"/>
      <c r="X129" s="63"/>
      <c r="Y129" s="65"/>
      <c r="Z129" s="65"/>
      <c r="CH129" s="46" t="s">
        <v>42</v>
      </c>
      <c r="CI129" s="46" t="s">
        <v>299</v>
      </c>
      <c r="CJ129" s="48" t="s">
        <v>43</v>
      </c>
      <c r="CK129" s="46" t="s">
        <v>300</v>
      </c>
      <c r="CL129" s="46" t="s">
        <v>44</v>
      </c>
      <c r="CM129" s="47" t="s">
        <v>45</v>
      </c>
      <c r="CN129" s="47" t="s">
        <v>45</v>
      </c>
      <c r="CO129" s="46" t="s">
        <v>42</v>
      </c>
    </row>
    <row r="130" spans="1:93" ht="30.75" customHeight="1">
      <c r="A130" s="22">
        <f>A129+1</f>
        <v>73</v>
      </c>
      <c r="B130" s="71" t="s">
        <v>301</v>
      </c>
      <c r="C130" s="169" t="s">
        <v>302</v>
      </c>
      <c r="D130" s="52" t="s">
        <v>303</v>
      </c>
      <c r="E130" s="22" t="s">
        <v>172</v>
      </c>
      <c r="F130" s="22" t="s">
        <v>51</v>
      </c>
      <c r="G130" s="67">
        <v>1013</v>
      </c>
      <c r="H130" s="55">
        <v>13.148</v>
      </c>
      <c r="I130" s="68"/>
      <c r="J130" s="56">
        <v>0.35</v>
      </c>
      <c r="K130" s="68"/>
      <c r="L130" s="69"/>
      <c r="M130" s="71">
        <v>10</v>
      </c>
      <c r="N130" s="71">
        <v>2</v>
      </c>
      <c r="O130" s="60">
        <v>2026</v>
      </c>
      <c r="P130" s="59">
        <f>1532+1566</f>
        <v>3098</v>
      </c>
      <c r="Q130" s="71"/>
      <c r="R130" s="71"/>
      <c r="S130" s="72"/>
      <c r="T130" s="166"/>
      <c r="U130" s="63"/>
      <c r="V130" s="64"/>
      <c r="W130" s="65"/>
      <c r="X130" s="63"/>
      <c r="Y130" s="65"/>
      <c r="Z130" s="65"/>
      <c r="CH130" s="46"/>
      <c r="CI130" s="46"/>
      <c r="CJ130" s="46"/>
      <c r="CK130" s="46"/>
      <c r="CL130" s="46"/>
      <c r="CM130" s="46"/>
      <c r="CN130" s="46"/>
      <c r="CO130" s="46"/>
    </row>
    <row r="131" spans="1:93" ht="46.5" customHeight="1">
      <c r="A131" s="408">
        <f>A130+1</f>
        <v>74</v>
      </c>
      <c r="B131" s="408" t="s">
        <v>144</v>
      </c>
      <c r="C131" s="408" t="s">
        <v>109</v>
      </c>
      <c r="D131" s="408" t="s">
        <v>304</v>
      </c>
      <c r="E131" s="408" t="s">
        <v>172</v>
      </c>
      <c r="F131" s="22" t="s">
        <v>51</v>
      </c>
      <c r="G131" s="410">
        <v>1120</v>
      </c>
      <c r="H131" s="418">
        <v>24.391</v>
      </c>
      <c r="I131" s="68"/>
      <c r="J131" s="56"/>
      <c r="K131" s="68"/>
      <c r="L131" s="69"/>
      <c r="M131" s="408">
        <v>15.1</v>
      </c>
      <c r="N131" s="408">
        <v>2</v>
      </c>
      <c r="O131" s="426">
        <v>2240</v>
      </c>
      <c r="P131" s="59">
        <f>307+2081</f>
        <v>2388</v>
      </c>
      <c r="Q131" s="408">
        <v>748</v>
      </c>
      <c r="R131" s="408" t="s">
        <v>114</v>
      </c>
      <c r="S131" s="435"/>
      <c r="T131" s="166"/>
      <c r="U131" s="63"/>
      <c r="V131" s="64"/>
      <c r="W131" s="65"/>
      <c r="X131" s="63"/>
      <c r="Y131" s="63"/>
      <c r="Z131" s="65"/>
      <c r="CH131" s="95" t="s">
        <v>62</v>
      </c>
      <c r="CI131" s="95" t="s">
        <v>305</v>
      </c>
      <c r="CJ131" s="96" t="s">
        <v>71</v>
      </c>
      <c r="CK131" s="97" t="s">
        <v>75</v>
      </c>
      <c r="CL131" s="97" t="s">
        <v>66</v>
      </c>
      <c r="CM131" s="97" t="s">
        <v>67</v>
      </c>
      <c r="CN131" s="96" t="s">
        <v>45</v>
      </c>
      <c r="CO131" s="96"/>
    </row>
    <row r="132" spans="1:93" ht="46.5" customHeight="1">
      <c r="A132" s="408"/>
      <c r="B132" s="408"/>
      <c r="C132" s="408"/>
      <c r="D132" s="408"/>
      <c r="E132" s="408"/>
      <c r="F132" s="22"/>
      <c r="G132" s="410"/>
      <c r="H132" s="418"/>
      <c r="I132" s="68"/>
      <c r="J132" s="56"/>
      <c r="K132" s="68"/>
      <c r="L132" s="69"/>
      <c r="M132" s="408"/>
      <c r="N132" s="408"/>
      <c r="O132" s="426"/>
      <c r="P132" s="59"/>
      <c r="Q132" s="408"/>
      <c r="R132" s="408"/>
      <c r="S132" s="435"/>
      <c r="T132" s="166"/>
      <c r="U132" s="63"/>
      <c r="V132" s="64"/>
      <c r="W132" s="65"/>
      <c r="X132" s="63"/>
      <c r="Y132" s="63"/>
      <c r="Z132" s="65"/>
      <c r="CH132" s="95" t="s">
        <v>62</v>
      </c>
      <c r="CI132" s="95" t="s">
        <v>306</v>
      </c>
      <c r="CJ132" s="96" t="s">
        <v>71</v>
      </c>
      <c r="CK132" s="97" t="s">
        <v>75</v>
      </c>
      <c r="CL132" s="97" t="s">
        <v>66</v>
      </c>
      <c r="CM132" s="97" t="s">
        <v>67</v>
      </c>
      <c r="CN132" s="96" t="s">
        <v>45</v>
      </c>
      <c r="CO132" s="96"/>
    </row>
    <row r="133" spans="1:93" ht="46.5" customHeight="1">
      <c r="A133" s="408"/>
      <c r="B133" s="408"/>
      <c r="C133" s="408"/>
      <c r="D133" s="408"/>
      <c r="E133" s="408"/>
      <c r="F133" s="22"/>
      <c r="G133" s="410"/>
      <c r="H133" s="418"/>
      <c r="I133" s="68"/>
      <c r="J133" s="56"/>
      <c r="K133" s="68"/>
      <c r="L133" s="69"/>
      <c r="M133" s="408"/>
      <c r="N133" s="408"/>
      <c r="O133" s="426"/>
      <c r="P133" s="59"/>
      <c r="Q133" s="408"/>
      <c r="R133" s="408"/>
      <c r="S133" s="435"/>
      <c r="T133" s="166"/>
      <c r="U133" s="63"/>
      <c r="V133" s="64"/>
      <c r="W133" s="65"/>
      <c r="X133" s="63"/>
      <c r="Y133" s="63"/>
      <c r="Z133" s="65"/>
      <c r="CH133" s="95" t="s">
        <v>62</v>
      </c>
      <c r="CI133" s="95" t="s">
        <v>307</v>
      </c>
      <c r="CJ133" s="96" t="s">
        <v>64</v>
      </c>
      <c r="CK133" s="97" t="s">
        <v>130</v>
      </c>
      <c r="CL133" s="97" t="s">
        <v>66</v>
      </c>
      <c r="CM133" s="97" t="s">
        <v>67</v>
      </c>
      <c r="CN133" s="96" t="s">
        <v>67</v>
      </c>
      <c r="CO133" s="96"/>
    </row>
    <row r="134" spans="1:93" ht="51.75" customHeight="1">
      <c r="A134" s="408">
        <f>A131+1</f>
        <v>75</v>
      </c>
      <c r="B134" s="417" t="s">
        <v>308</v>
      </c>
      <c r="C134" s="417" t="s">
        <v>309</v>
      </c>
      <c r="D134" s="417" t="s">
        <v>310</v>
      </c>
      <c r="E134" s="22" t="s">
        <v>172</v>
      </c>
      <c r="F134" s="22" t="s">
        <v>51</v>
      </c>
      <c r="G134" s="410">
        <v>1652</v>
      </c>
      <c r="H134" s="418">
        <v>24.217</v>
      </c>
      <c r="I134" s="68"/>
      <c r="J134" s="56"/>
      <c r="K134" s="68"/>
      <c r="L134" s="69"/>
      <c r="M134" s="408">
        <v>16.2</v>
      </c>
      <c r="N134" s="408">
        <v>2</v>
      </c>
      <c r="O134" s="426">
        <v>3054</v>
      </c>
      <c r="P134" s="59">
        <f>3054</f>
        <v>3054</v>
      </c>
      <c r="Q134" s="423"/>
      <c r="R134" s="423"/>
      <c r="S134" s="435"/>
      <c r="T134" s="166"/>
      <c r="U134" s="63"/>
      <c r="V134" s="64"/>
      <c r="W134" s="65"/>
      <c r="X134" s="63"/>
      <c r="Y134" s="65"/>
      <c r="Z134" s="65"/>
      <c r="CH134" s="95" t="s">
        <v>62</v>
      </c>
      <c r="CI134" s="95" t="s">
        <v>311</v>
      </c>
      <c r="CJ134" s="96" t="s">
        <v>71</v>
      </c>
      <c r="CK134" s="97" t="s">
        <v>72</v>
      </c>
      <c r="CL134" s="97" t="s">
        <v>66</v>
      </c>
      <c r="CM134" s="97" t="s">
        <v>67</v>
      </c>
      <c r="CN134" s="96" t="s">
        <v>45</v>
      </c>
      <c r="CO134" s="96" t="s">
        <v>73</v>
      </c>
    </row>
    <row r="135" spans="1:93" ht="51.75" customHeight="1">
      <c r="A135" s="408"/>
      <c r="B135" s="417"/>
      <c r="C135" s="417"/>
      <c r="D135" s="417"/>
      <c r="E135" s="23"/>
      <c r="F135" s="23"/>
      <c r="G135" s="410"/>
      <c r="H135" s="418"/>
      <c r="I135" s="100"/>
      <c r="J135" s="212"/>
      <c r="K135" s="100"/>
      <c r="L135" s="152"/>
      <c r="M135" s="408"/>
      <c r="N135" s="408"/>
      <c r="O135" s="426"/>
      <c r="P135" s="213"/>
      <c r="Q135" s="423"/>
      <c r="R135" s="423"/>
      <c r="S135" s="435"/>
      <c r="T135" s="166"/>
      <c r="U135" s="63"/>
      <c r="V135" s="64"/>
      <c r="W135" s="65"/>
      <c r="X135" s="63"/>
      <c r="Y135" s="65"/>
      <c r="Z135" s="65"/>
      <c r="CH135" s="149" t="s">
        <v>62</v>
      </c>
      <c r="CI135" s="95" t="s">
        <v>312</v>
      </c>
      <c r="CJ135" s="96" t="s">
        <v>71</v>
      </c>
      <c r="CK135" s="97" t="s">
        <v>72</v>
      </c>
      <c r="CL135" s="97" t="s">
        <v>66</v>
      </c>
      <c r="CM135" s="97" t="s">
        <v>67</v>
      </c>
      <c r="CN135" s="96" t="s">
        <v>45</v>
      </c>
      <c r="CO135" s="96" t="s">
        <v>313</v>
      </c>
    </row>
    <row r="136" spans="1:93" ht="51.75" customHeight="1">
      <c r="A136" s="408"/>
      <c r="B136" s="417"/>
      <c r="C136" s="417"/>
      <c r="D136" s="417"/>
      <c r="E136" s="23"/>
      <c r="F136" s="23"/>
      <c r="G136" s="410"/>
      <c r="H136" s="418"/>
      <c r="I136" s="100"/>
      <c r="J136" s="212"/>
      <c r="K136" s="100"/>
      <c r="L136" s="152"/>
      <c r="M136" s="408"/>
      <c r="N136" s="408"/>
      <c r="O136" s="426"/>
      <c r="P136" s="213"/>
      <c r="Q136" s="423"/>
      <c r="R136" s="423"/>
      <c r="S136" s="435"/>
      <c r="T136" s="166"/>
      <c r="U136" s="63"/>
      <c r="V136" s="64"/>
      <c r="W136" s="65"/>
      <c r="X136" s="63"/>
      <c r="Y136" s="65"/>
      <c r="Z136" s="65"/>
      <c r="CH136" s="95" t="s">
        <v>62</v>
      </c>
      <c r="CI136" s="95" t="s">
        <v>314</v>
      </c>
      <c r="CJ136" s="96" t="s">
        <v>71</v>
      </c>
      <c r="CK136" s="97" t="s">
        <v>72</v>
      </c>
      <c r="CL136" s="97" t="s">
        <v>66</v>
      </c>
      <c r="CM136" s="97" t="s">
        <v>67</v>
      </c>
      <c r="CN136" s="96" t="s">
        <v>45</v>
      </c>
      <c r="CO136" s="96" t="s">
        <v>315</v>
      </c>
    </row>
    <row r="137" spans="1:93" ht="51.75" customHeight="1">
      <c r="A137" s="408"/>
      <c r="B137" s="417"/>
      <c r="C137" s="417"/>
      <c r="D137" s="417"/>
      <c r="E137" s="23"/>
      <c r="F137" s="23"/>
      <c r="G137" s="410"/>
      <c r="H137" s="418"/>
      <c r="I137" s="100"/>
      <c r="J137" s="212"/>
      <c r="K137" s="100"/>
      <c r="L137" s="152"/>
      <c r="M137" s="408"/>
      <c r="N137" s="408"/>
      <c r="O137" s="426"/>
      <c r="P137" s="213"/>
      <c r="Q137" s="423"/>
      <c r="R137" s="423"/>
      <c r="S137" s="435"/>
      <c r="T137" s="166"/>
      <c r="U137" s="63"/>
      <c r="V137" s="64"/>
      <c r="W137" s="65"/>
      <c r="X137" s="63"/>
      <c r="Y137" s="65"/>
      <c r="Z137" s="65"/>
      <c r="CH137" s="149" t="s">
        <v>62</v>
      </c>
      <c r="CI137" s="95" t="s">
        <v>316</v>
      </c>
      <c r="CJ137" s="96" t="s">
        <v>64</v>
      </c>
      <c r="CK137" s="97" t="s">
        <v>75</v>
      </c>
      <c r="CL137" s="97" t="s">
        <v>66</v>
      </c>
      <c r="CM137" s="97" t="s">
        <v>67</v>
      </c>
      <c r="CN137" s="96" t="s">
        <v>45</v>
      </c>
      <c r="CO137" s="96" t="s">
        <v>317</v>
      </c>
    </row>
    <row r="138" spans="1:93" ht="51.75" customHeight="1">
      <c r="A138" s="408"/>
      <c r="B138" s="417"/>
      <c r="C138" s="417"/>
      <c r="D138" s="417"/>
      <c r="E138" s="23"/>
      <c r="F138" s="23"/>
      <c r="G138" s="410"/>
      <c r="H138" s="418"/>
      <c r="I138" s="100"/>
      <c r="J138" s="212"/>
      <c r="K138" s="100"/>
      <c r="L138" s="152"/>
      <c r="M138" s="408"/>
      <c r="N138" s="408"/>
      <c r="O138" s="426"/>
      <c r="P138" s="213"/>
      <c r="Q138" s="423"/>
      <c r="R138" s="423"/>
      <c r="S138" s="435"/>
      <c r="T138" s="166"/>
      <c r="U138" s="63"/>
      <c r="V138" s="64"/>
      <c r="W138" s="65"/>
      <c r="X138" s="63"/>
      <c r="Y138" s="65"/>
      <c r="Z138" s="65"/>
      <c r="CH138" s="95" t="s">
        <v>62</v>
      </c>
      <c r="CI138" s="95" t="s">
        <v>318</v>
      </c>
      <c r="CJ138" s="96" t="s">
        <v>64</v>
      </c>
      <c r="CK138" s="96" t="s">
        <v>75</v>
      </c>
      <c r="CL138" s="97" t="s">
        <v>66</v>
      </c>
      <c r="CM138" s="97" t="s">
        <v>67</v>
      </c>
      <c r="CN138" s="96" t="s">
        <v>45</v>
      </c>
      <c r="CO138" s="96" t="s">
        <v>73</v>
      </c>
    </row>
    <row r="139" spans="1:93" ht="51.75" customHeight="1">
      <c r="A139" s="408"/>
      <c r="B139" s="417"/>
      <c r="C139" s="417"/>
      <c r="D139" s="417"/>
      <c r="E139" s="23"/>
      <c r="F139" s="23"/>
      <c r="G139" s="410"/>
      <c r="H139" s="418"/>
      <c r="I139" s="100"/>
      <c r="J139" s="212"/>
      <c r="K139" s="100"/>
      <c r="L139" s="152"/>
      <c r="M139" s="408"/>
      <c r="N139" s="408"/>
      <c r="O139" s="426"/>
      <c r="P139" s="213"/>
      <c r="Q139" s="423"/>
      <c r="R139" s="423"/>
      <c r="S139" s="435"/>
      <c r="T139" s="166"/>
      <c r="U139" s="63"/>
      <c r="V139" s="64"/>
      <c r="W139" s="65"/>
      <c r="X139" s="63"/>
      <c r="Y139" s="65"/>
      <c r="Z139" s="65"/>
      <c r="CH139" s="95" t="s">
        <v>62</v>
      </c>
      <c r="CI139" s="95" t="s">
        <v>319</v>
      </c>
      <c r="CJ139" s="96" t="s">
        <v>64</v>
      </c>
      <c r="CK139" s="96" t="s">
        <v>75</v>
      </c>
      <c r="CL139" s="97" t="s">
        <v>66</v>
      </c>
      <c r="CM139" s="97" t="s">
        <v>67</v>
      </c>
      <c r="CN139" s="96" t="s">
        <v>45</v>
      </c>
      <c r="CO139" s="96" t="s">
        <v>320</v>
      </c>
    </row>
    <row r="140" spans="1:93" ht="51.75" customHeight="1">
      <c r="A140" s="408"/>
      <c r="B140" s="417"/>
      <c r="C140" s="417"/>
      <c r="D140" s="417"/>
      <c r="E140" s="23"/>
      <c r="F140" s="23"/>
      <c r="G140" s="410"/>
      <c r="H140" s="418"/>
      <c r="I140" s="100"/>
      <c r="J140" s="212"/>
      <c r="K140" s="100"/>
      <c r="L140" s="152"/>
      <c r="M140" s="408"/>
      <c r="N140" s="408"/>
      <c r="O140" s="426"/>
      <c r="P140" s="213"/>
      <c r="Q140" s="423"/>
      <c r="R140" s="423"/>
      <c r="S140" s="435"/>
      <c r="T140" s="166"/>
      <c r="U140" s="63"/>
      <c r="V140" s="64"/>
      <c r="W140" s="65"/>
      <c r="X140" s="63"/>
      <c r="Y140" s="65"/>
      <c r="Z140" s="65"/>
      <c r="CH140" s="95" t="s">
        <v>62</v>
      </c>
      <c r="CI140" s="95" t="s">
        <v>321</v>
      </c>
      <c r="CJ140" s="96" t="s">
        <v>71</v>
      </c>
      <c r="CK140" s="97" t="s">
        <v>85</v>
      </c>
      <c r="CL140" s="97" t="s">
        <v>66</v>
      </c>
      <c r="CM140" s="97" t="s">
        <v>67</v>
      </c>
      <c r="CN140" s="96" t="s">
        <v>45</v>
      </c>
      <c r="CO140" s="96" t="s">
        <v>322</v>
      </c>
    </row>
    <row r="141" spans="1:93" ht="51.75" customHeight="1">
      <c r="A141" s="408"/>
      <c r="B141" s="417"/>
      <c r="C141" s="417"/>
      <c r="D141" s="417"/>
      <c r="E141" s="23"/>
      <c r="F141" s="23"/>
      <c r="G141" s="410"/>
      <c r="H141" s="418"/>
      <c r="I141" s="100"/>
      <c r="J141" s="212"/>
      <c r="K141" s="100"/>
      <c r="L141" s="152"/>
      <c r="M141" s="408"/>
      <c r="N141" s="408"/>
      <c r="O141" s="426"/>
      <c r="P141" s="213"/>
      <c r="Q141" s="423"/>
      <c r="R141" s="423"/>
      <c r="S141" s="435"/>
      <c r="T141" s="166"/>
      <c r="U141" s="63"/>
      <c r="V141" s="64"/>
      <c r="W141" s="65"/>
      <c r="X141" s="63"/>
      <c r="Y141" s="65"/>
      <c r="Z141" s="65"/>
      <c r="CH141" s="95" t="s">
        <v>87</v>
      </c>
      <c r="CI141" s="95" t="s">
        <v>323</v>
      </c>
      <c r="CJ141" s="96" t="s">
        <v>71</v>
      </c>
      <c r="CK141" s="97" t="s">
        <v>75</v>
      </c>
      <c r="CL141" s="97" t="s">
        <v>324</v>
      </c>
      <c r="CM141" s="97" t="s">
        <v>45</v>
      </c>
      <c r="CN141" s="96" t="s">
        <v>45</v>
      </c>
      <c r="CO141" s="96" t="s">
        <v>90</v>
      </c>
    </row>
    <row r="142" spans="1:93" ht="28.5" customHeight="1">
      <c r="A142" s="151"/>
      <c r="B142" s="152" t="s">
        <v>166</v>
      </c>
      <c r="C142" s="214" t="s">
        <v>167</v>
      </c>
      <c r="D142" s="215" t="s">
        <v>325</v>
      </c>
      <c r="E142" s="152"/>
      <c r="F142" s="151"/>
      <c r="G142" s="155">
        <f aca="true" t="shared" si="4" ref="G142:L142">SUM(G60:G134)</f>
        <v>34162.7</v>
      </c>
      <c r="H142" s="216">
        <f t="shared" si="4"/>
        <v>482.856</v>
      </c>
      <c r="I142" s="216">
        <f t="shared" si="4"/>
        <v>0</v>
      </c>
      <c r="J142" s="216">
        <f t="shared" si="4"/>
        <v>9.661</v>
      </c>
      <c r="K142" s="216">
        <f t="shared" si="4"/>
        <v>0</v>
      </c>
      <c r="L142" s="216">
        <f t="shared" si="4"/>
        <v>1.8</v>
      </c>
      <c r="M142" s="217"/>
      <c r="N142" s="218">
        <f>SUM(N60:N134)</f>
        <v>80</v>
      </c>
      <c r="O142" s="218">
        <f>SUM(O60:O134)</f>
        <v>67446</v>
      </c>
      <c r="P142" s="218">
        <f>SUM(P60:P134)</f>
        <v>78977</v>
      </c>
      <c r="Q142" s="218">
        <f>SUM(Q60:Q134)</f>
        <v>3147</v>
      </c>
      <c r="R142" s="218"/>
      <c r="S142" s="216">
        <f>SUM(S60:S134)</f>
        <v>25.699</v>
      </c>
      <c r="T142" s="161"/>
      <c r="U142" s="161"/>
      <c r="V142" s="219"/>
      <c r="W142" s="220"/>
      <c r="X142" s="221"/>
      <c r="Y142" s="221"/>
      <c r="Z142" s="65"/>
      <c r="CH142" s="46" t="s">
        <v>52</v>
      </c>
      <c r="CI142" s="46"/>
      <c r="CJ142" s="46"/>
      <c r="CK142" s="46"/>
      <c r="CL142" s="46"/>
      <c r="CM142" s="46"/>
      <c r="CN142" s="46"/>
      <c r="CO142" s="46"/>
    </row>
    <row r="143" spans="1:93" ht="27" customHeight="1">
      <c r="A143" s="415" t="s">
        <v>326</v>
      </c>
      <c r="B143" s="415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50"/>
      <c r="U143" s="222"/>
      <c r="V143" s="219"/>
      <c r="W143" s="221"/>
      <c r="X143" s="221"/>
      <c r="Y143" s="221"/>
      <c r="Z143" s="65"/>
      <c r="CH143" s="46" t="s">
        <v>52</v>
      </c>
      <c r="CI143" s="46"/>
      <c r="CJ143" s="46"/>
      <c r="CK143" s="46"/>
      <c r="CL143" s="46"/>
      <c r="CM143" s="46"/>
      <c r="CN143" s="46"/>
      <c r="CO143" s="46"/>
    </row>
    <row r="144" spans="1:93" ht="27" customHeight="1">
      <c r="A144" s="22">
        <f>A134+1</f>
        <v>76</v>
      </c>
      <c r="B144" s="119" t="s">
        <v>327</v>
      </c>
      <c r="C144" s="424" t="s">
        <v>328</v>
      </c>
      <c r="D144" s="424"/>
      <c r="E144" s="94" t="s">
        <v>329</v>
      </c>
      <c r="F144" s="98" t="s">
        <v>51</v>
      </c>
      <c r="G144" s="113">
        <v>23.9</v>
      </c>
      <c r="H144" s="114">
        <v>0.143</v>
      </c>
      <c r="I144" s="115"/>
      <c r="J144" s="116"/>
      <c r="K144" s="115"/>
      <c r="L144" s="117"/>
      <c r="M144" s="118">
        <v>6</v>
      </c>
      <c r="N144" s="119">
        <v>2</v>
      </c>
      <c r="O144" s="120">
        <v>48</v>
      </c>
      <c r="P144" s="121"/>
      <c r="Q144" s="119"/>
      <c r="R144" s="119"/>
      <c r="S144" s="122">
        <v>0.143</v>
      </c>
      <c r="T144" s="62"/>
      <c r="U144" s="63"/>
      <c r="V144" s="64"/>
      <c r="W144" s="65"/>
      <c r="X144" s="63"/>
      <c r="Y144" s="65"/>
      <c r="Z144" s="65"/>
      <c r="CH144" s="46" t="s">
        <v>52</v>
      </c>
      <c r="CI144" s="46"/>
      <c r="CJ144" s="46"/>
      <c r="CK144" s="46"/>
      <c r="CL144" s="46"/>
      <c r="CM144" s="46"/>
      <c r="CN144" s="46"/>
      <c r="CO144" s="46"/>
    </row>
    <row r="145" spans="1:93" ht="42" customHeight="1">
      <c r="A145" s="30">
        <f aca="true" t="shared" si="5" ref="A145:A155">A144+1</f>
        <v>77</v>
      </c>
      <c r="B145" s="119" t="s">
        <v>330</v>
      </c>
      <c r="C145" s="424" t="s">
        <v>331</v>
      </c>
      <c r="D145" s="424"/>
      <c r="E145" s="94" t="s">
        <v>329</v>
      </c>
      <c r="F145" s="98" t="s">
        <v>50</v>
      </c>
      <c r="G145" s="113">
        <v>22.1</v>
      </c>
      <c r="H145" s="114">
        <v>0.2</v>
      </c>
      <c r="I145" s="115"/>
      <c r="J145" s="116"/>
      <c r="K145" s="115"/>
      <c r="L145" s="117"/>
      <c r="M145" s="118">
        <v>9</v>
      </c>
      <c r="N145" s="119">
        <v>2</v>
      </c>
      <c r="O145" s="120">
        <v>43</v>
      </c>
      <c r="P145" s="121">
        <v>43</v>
      </c>
      <c r="Q145" s="119"/>
      <c r="R145" s="119"/>
      <c r="S145" s="122">
        <v>0.2</v>
      </c>
      <c r="T145" s="223"/>
      <c r="U145" s="63"/>
      <c r="V145" s="64"/>
      <c r="W145" s="65"/>
      <c r="X145" s="63"/>
      <c r="Y145" s="65"/>
      <c r="Z145" s="65"/>
      <c r="CH145" s="46" t="s">
        <v>52</v>
      </c>
      <c r="CI145" s="46"/>
      <c r="CJ145" s="46"/>
      <c r="CK145" s="46"/>
      <c r="CL145" s="46"/>
      <c r="CM145" s="46"/>
      <c r="CN145" s="46"/>
      <c r="CO145" s="46"/>
    </row>
    <row r="146" spans="1:93" ht="27" customHeight="1">
      <c r="A146" s="30">
        <f t="shared" si="5"/>
        <v>78</v>
      </c>
      <c r="B146" s="119" t="s">
        <v>332</v>
      </c>
      <c r="C146" s="428" t="s">
        <v>333</v>
      </c>
      <c r="D146" s="428"/>
      <c r="E146" s="94" t="s">
        <v>329</v>
      </c>
      <c r="F146" s="98" t="s">
        <v>51</v>
      </c>
      <c r="G146" s="113">
        <v>3.9</v>
      </c>
      <c r="H146" s="114">
        <v>0.03</v>
      </c>
      <c r="I146" s="115"/>
      <c r="J146" s="116"/>
      <c r="K146" s="115"/>
      <c r="L146" s="117"/>
      <c r="M146" s="118">
        <v>7.7</v>
      </c>
      <c r="N146" s="119">
        <v>2</v>
      </c>
      <c r="O146" s="120">
        <f>G146*N146</f>
        <v>8</v>
      </c>
      <c r="P146" s="121"/>
      <c r="Q146" s="119"/>
      <c r="R146" s="119"/>
      <c r="S146" s="122">
        <v>0.03</v>
      </c>
      <c r="T146" s="62"/>
      <c r="U146" s="63"/>
      <c r="V146" s="64"/>
      <c r="W146" s="65"/>
      <c r="X146" s="63"/>
      <c r="Y146" s="65"/>
      <c r="Z146" s="65"/>
      <c r="CH146" s="46" t="s">
        <v>52</v>
      </c>
      <c r="CI146" s="46"/>
      <c r="CJ146" s="46"/>
      <c r="CK146" s="46"/>
      <c r="CL146" s="46"/>
      <c r="CM146" s="46"/>
      <c r="CN146" s="46"/>
      <c r="CO146" s="46"/>
    </row>
    <row r="147" spans="1:93" s="106" customFormat="1" ht="46.5" customHeight="1">
      <c r="A147" s="30">
        <f t="shared" si="5"/>
        <v>79</v>
      </c>
      <c r="B147" s="131" t="s">
        <v>334</v>
      </c>
      <c r="C147" s="52" t="s">
        <v>59</v>
      </c>
      <c r="D147" s="193" t="s">
        <v>335</v>
      </c>
      <c r="E147" s="30" t="s">
        <v>329</v>
      </c>
      <c r="F147" s="22" t="s">
        <v>51</v>
      </c>
      <c r="G147" s="132">
        <v>964</v>
      </c>
      <c r="H147" s="55">
        <v>5.338</v>
      </c>
      <c r="I147" s="100"/>
      <c r="J147" s="100"/>
      <c r="K147" s="100"/>
      <c r="L147" s="101"/>
      <c r="M147" s="134">
        <v>5.8</v>
      </c>
      <c r="N147" s="131">
        <v>2</v>
      </c>
      <c r="O147" s="60">
        <v>307</v>
      </c>
      <c r="P147" s="71">
        <f>96+211</f>
        <v>307</v>
      </c>
      <c r="Q147" s="134">
        <v>0</v>
      </c>
      <c r="R147" s="134"/>
      <c r="S147" s="135">
        <v>5.338</v>
      </c>
      <c r="T147" s="102"/>
      <c r="U147" s="103"/>
      <c r="V147" s="104"/>
      <c r="W147" s="105"/>
      <c r="X147" s="103"/>
      <c r="Y147" s="105"/>
      <c r="Z147" s="105"/>
      <c r="CH147" s="46" t="s">
        <v>52</v>
      </c>
      <c r="CI147" s="136"/>
      <c r="CJ147" s="136"/>
      <c r="CK147" s="136"/>
      <c r="CL147" s="136"/>
      <c r="CM147" s="136"/>
      <c r="CN147" s="136"/>
      <c r="CO147" s="136"/>
    </row>
    <row r="148" spans="1:93" ht="27" customHeight="1">
      <c r="A148" s="30">
        <f t="shared" si="5"/>
        <v>80</v>
      </c>
      <c r="B148" s="119" t="s">
        <v>336</v>
      </c>
      <c r="C148" s="224" t="s">
        <v>333</v>
      </c>
      <c r="D148" s="119"/>
      <c r="E148" s="94" t="s">
        <v>329</v>
      </c>
      <c r="F148" s="98" t="s">
        <v>51</v>
      </c>
      <c r="G148" s="113">
        <v>3.9</v>
      </c>
      <c r="H148" s="114">
        <v>0.03</v>
      </c>
      <c r="I148" s="115"/>
      <c r="J148" s="116"/>
      <c r="K148" s="115"/>
      <c r="L148" s="117"/>
      <c r="M148" s="118">
        <v>7.7</v>
      </c>
      <c r="N148" s="119">
        <v>2</v>
      </c>
      <c r="O148" s="120">
        <v>8</v>
      </c>
      <c r="P148" s="121"/>
      <c r="Q148" s="119"/>
      <c r="R148" s="119"/>
      <c r="S148" s="122">
        <v>0.03</v>
      </c>
      <c r="T148" s="62"/>
      <c r="U148" s="63"/>
      <c r="V148" s="64"/>
      <c r="W148" s="65"/>
      <c r="X148" s="63"/>
      <c r="Y148" s="65"/>
      <c r="Z148" s="65"/>
      <c r="CH148" s="46" t="s">
        <v>52</v>
      </c>
      <c r="CI148" s="46"/>
      <c r="CJ148" s="46"/>
      <c r="CK148" s="46"/>
      <c r="CL148" s="46"/>
      <c r="CM148" s="46"/>
      <c r="CN148" s="46"/>
      <c r="CO148" s="46"/>
    </row>
    <row r="149" spans="1:93" ht="27" customHeight="1">
      <c r="A149" s="30">
        <f t="shared" si="5"/>
        <v>81</v>
      </c>
      <c r="B149" s="71" t="s">
        <v>337</v>
      </c>
      <c r="C149" s="169" t="s">
        <v>59</v>
      </c>
      <c r="D149" s="52" t="s">
        <v>338</v>
      </c>
      <c r="E149" s="22" t="s">
        <v>329</v>
      </c>
      <c r="F149" s="22" t="s">
        <v>51</v>
      </c>
      <c r="G149" s="67">
        <v>1368</v>
      </c>
      <c r="H149" s="55">
        <v>12.336</v>
      </c>
      <c r="I149" s="68"/>
      <c r="J149" s="56"/>
      <c r="K149" s="68"/>
      <c r="L149" s="69"/>
      <c r="M149" s="71">
        <v>7.9</v>
      </c>
      <c r="N149" s="71">
        <v>2</v>
      </c>
      <c r="O149" s="60">
        <v>2736</v>
      </c>
      <c r="P149" s="59">
        <f>2855+884</f>
        <v>3739</v>
      </c>
      <c r="Q149" s="71">
        <v>0</v>
      </c>
      <c r="R149" s="71" t="s">
        <v>51</v>
      </c>
      <c r="S149" s="72">
        <v>12.336</v>
      </c>
      <c r="T149" s="62"/>
      <c r="U149" s="63"/>
      <c r="V149" s="64"/>
      <c r="W149" s="65"/>
      <c r="X149" s="63"/>
      <c r="Y149" s="65"/>
      <c r="Z149" s="65"/>
      <c r="CH149" s="46" t="s">
        <v>52</v>
      </c>
      <c r="CI149" s="46"/>
      <c r="CJ149" s="46"/>
      <c r="CK149" s="46"/>
      <c r="CL149" s="46"/>
      <c r="CM149" s="46"/>
      <c r="CN149" s="46"/>
      <c r="CO149" s="46"/>
    </row>
    <row r="150" spans="1:93" ht="27" customHeight="1">
      <c r="A150" s="30">
        <f t="shared" si="5"/>
        <v>82</v>
      </c>
      <c r="B150" s="119" t="s">
        <v>339</v>
      </c>
      <c r="C150" s="424" t="s">
        <v>340</v>
      </c>
      <c r="D150" s="424"/>
      <c r="E150" s="94" t="s">
        <v>329</v>
      </c>
      <c r="F150" s="98" t="s">
        <v>50</v>
      </c>
      <c r="G150" s="113">
        <v>17</v>
      </c>
      <c r="H150" s="114">
        <v>0.104</v>
      </c>
      <c r="I150" s="115"/>
      <c r="J150" s="116"/>
      <c r="K150" s="115"/>
      <c r="L150" s="117"/>
      <c r="M150" s="119">
        <v>6</v>
      </c>
      <c r="N150" s="119"/>
      <c r="O150" s="120">
        <v>0</v>
      </c>
      <c r="P150" s="121"/>
      <c r="Q150" s="119"/>
      <c r="R150" s="119"/>
      <c r="S150" s="122"/>
      <c r="T150" s="62"/>
      <c r="U150" s="63"/>
      <c r="V150" s="64"/>
      <c r="W150" s="65"/>
      <c r="X150" s="63"/>
      <c r="Y150" s="63"/>
      <c r="Z150" s="65"/>
      <c r="CH150" s="46" t="s">
        <v>52</v>
      </c>
      <c r="CI150" s="46"/>
      <c r="CJ150" s="46"/>
      <c r="CK150" s="46"/>
      <c r="CL150" s="46"/>
      <c r="CM150" s="46"/>
      <c r="CN150" s="46"/>
      <c r="CO150" s="46"/>
    </row>
    <row r="151" spans="1:93" ht="27" customHeight="1">
      <c r="A151" s="30">
        <f t="shared" si="5"/>
        <v>83</v>
      </c>
      <c r="B151" s="71" t="s">
        <v>341</v>
      </c>
      <c r="C151" s="169" t="s">
        <v>210</v>
      </c>
      <c r="D151" s="52" t="s">
        <v>342</v>
      </c>
      <c r="E151" s="30" t="s">
        <v>329</v>
      </c>
      <c r="F151" s="22" t="s">
        <v>172</v>
      </c>
      <c r="G151" s="67">
        <v>327</v>
      </c>
      <c r="H151" s="55">
        <v>3.1</v>
      </c>
      <c r="I151" s="140"/>
      <c r="J151" s="56"/>
      <c r="K151" s="140"/>
      <c r="L151" s="69"/>
      <c r="M151" s="71">
        <v>7</v>
      </c>
      <c r="N151" s="71">
        <v>2</v>
      </c>
      <c r="O151" s="60">
        <v>215</v>
      </c>
      <c r="P151" s="59">
        <f>100+115</f>
        <v>215</v>
      </c>
      <c r="Q151" s="71"/>
      <c r="R151" s="71"/>
      <c r="S151" s="72"/>
      <c r="T151" s="62"/>
      <c r="U151" s="63"/>
      <c r="V151" s="64"/>
      <c r="W151" s="65"/>
      <c r="X151" s="63"/>
      <c r="Y151" s="123"/>
      <c r="Z151" s="213"/>
      <c r="AA151" s="225"/>
      <c r="AB151" s="225"/>
      <c r="AC151" s="225"/>
      <c r="CH151" s="46" t="s">
        <v>52</v>
      </c>
      <c r="CI151" s="46"/>
      <c r="CJ151" s="46"/>
      <c r="CK151" s="46"/>
      <c r="CL151" s="46"/>
      <c r="CM151" s="46"/>
      <c r="CN151" s="46"/>
      <c r="CO151" s="46"/>
    </row>
    <row r="152" spans="1:93" ht="40.5" customHeight="1">
      <c r="A152" s="30">
        <f t="shared" si="5"/>
        <v>84</v>
      </c>
      <c r="B152" s="71" t="s">
        <v>343</v>
      </c>
      <c r="C152" s="169" t="s">
        <v>55</v>
      </c>
      <c r="D152" s="52" t="s">
        <v>121</v>
      </c>
      <c r="E152" s="30" t="s">
        <v>329</v>
      </c>
      <c r="F152" s="22" t="s">
        <v>51</v>
      </c>
      <c r="G152" s="67">
        <v>858</v>
      </c>
      <c r="H152" s="55">
        <v>11.983</v>
      </c>
      <c r="I152" s="68"/>
      <c r="J152" s="56"/>
      <c r="K152" s="68"/>
      <c r="L152" s="69"/>
      <c r="M152" s="71">
        <v>11.3</v>
      </c>
      <c r="N152" s="71">
        <v>2</v>
      </c>
      <c r="O152" s="60">
        <v>1716</v>
      </c>
      <c r="P152" s="59">
        <f>279+1660</f>
        <v>1939</v>
      </c>
      <c r="Q152" s="71">
        <v>0</v>
      </c>
      <c r="R152" s="71" t="s">
        <v>51</v>
      </c>
      <c r="S152" s="72"/>
      <c r="T152" s="62"/>
      <c r="U152" s="63"/>
      <c r="V152" s="64"/>
      <c r="W152" s="65"/>
      <c r="X152" s="63"/>
      <c r="Y152" s="123"/>
      <c r="Z152" s="213"/>
      <c r="AA152" s="225"/>
      <c r="AB152" s="225"/>
      <c r="AC152" s="225"/>
      <c r="CH152" s="46" t="s">
        <v>42</v>
      </c>
      <c r="CI152" s="169" t="s">
        <v>344</v>
      </c>
      <c r="CJ152" s="48" t="s">
        <v>43</v>
      </c>
      <c r="CK152" s="97" t="s">
        <v>85</v>
      </c>
      <c r="CL152" s="46" t="s">
        <v>44</v>
      </c>
      <c r="CM152" s="46" t="s">
        <v>45</v>
      </c>
      <c r="CN152" s="46" t="s">
        <v>45</v>
      </c>
      <c r="CO152" s="46" t="s">
        <v>42</v>
      </c>
    </row>
    <row r="153" spans="1:93" ht="27" customHeight="1">
      <c r="A153" s="30">
        <f t="shared" si="5"/>
        <v>85</v>
      </c>
      <c r="B153" s="71" t="s">
        <v>345</v>
      </c>
      <c r="C153" s="169" t="s">
        <v>346</v>
      </c>
      <c r="D153" s="52" t="s">
        <v>347</v>
      </c>
      <c r="E153" s="30" t="s">
        <v>329</v>
      </c>
      <c r="F153" s="22" t="s">
        <v>51</v>
      </c>
      <c r="G153" s="67">
        <v>592</v>
      </c>
      <c r="H153" s="55">
        <v>5.635</v>
      </c>
      <c r="I153" s="68"/>
      <c r="J153" s="56"/>
      <c r="K153" s="68"/>
      <c r="L153" s="69"/>
      <c r="M153" s="71">
        <v>8</v>
      </c>
      <c r="N153" s="71">
        <v>2</v>
      </c>
      <c r="O153" s="60">
        <v>1184</v>
      </c>
      <c r="P153" s="59">
        <f>1141+718</f>
        <v>1859</v>
      </c>
      <c r="Q153" s="71">
        <v>0</v>
      </c>
      <c r="R153" s="71"/>
      <c r="S153" s="72"/>
      <c r="T153" s="62"/>
      <c r="U153" s="63"/>
      <c r="V153" s="64"/>
      <c r="W153" s="65"/>
      <c r="X153" s="63"/>
      <c r="Y153" s="65"/>
      <c r="Z153" s="65"/>
      <c r="CH153" s="46" t="s">
        <v>42</v>
      </c>
      <c r="CI153" s="169" t="s">
        <v>348</v>
      </c>
      <c r="CJ153" s="48" t="s">
        <v>43</v>
      </c>
      <c r="CK153" s="46" t="s">
        <v>72</v>
      </c>
      <c r="CL153" s="46" t="s">
        <v>44</v>
      </c>
      <c r="CM153" s="46" t="s">
        <v>45</v>
      </c>
      <c r="CN153" s="46" t="s">
        <v>45</v>
      </c>
      <c r="CO153" s="46" t="s">
        <v>42</v>
      </c>
    </row>
    <row r="154" spans="1:93" ht="27" customHeight="1">
      <c r="A154" s="30">
        <f t="shared" si="5"/>
        <v>86</v>
      </c>
      <c r="B154" s="71" t="s">
        <v>349</v>
      </c>
      <c r="C154" s="169" t="s">
        <v>350</v>
      </c>
      <c r="D154" s="52" t="s">
        <v>180</v>
      </c>
      <c r="E154" s="30" t="s">
        <v>329</v>
      </c>
      <c r="F154" s="22" t="s">
        <v>50</v>
      </c>
      <c r="G154" s="67">
        <v>677</v>
      </c>
      <c r="H154" s="55">
        <v>7.129</v>
      </c>
      <c r="I154" s="68"/>
      <c r="J154" s="68">
        <v>0.218</v>
      </c>
      <c r="K154" s="68"/>
      <c r="L154" s="69"/>
      <c r="M154" s="71">
        <v>10.6</v>
      </c>
      <c r="N154" s="71">
        <v>2</v>
      </c>
      <c r="O154" s="60">
        <v>1354</v>
      </c>
      <c r="P154" s="59">
        <f>334+1463</f>
        <v>1797</v>
      </c>
      <c r="Q154" s="71"/>
      <c r="R154" s="71"/>
      <c r="S154" s="72"/>
      <c r="T154" s="62"/>
      <c r="U154" s="63"/>
      <c r="V154" s="64"/>
      <c r="W154" s="65"/>
      <c r="X154" s="63"/>
      <c r="Y154" s="65"/>
      <c r="Z154" s="65"/>
      <c r="CH154" s="46" t="s">
        <v>42</v>
      </c>
      <c r="CI154" s="46" t="s">
        <v>351</v>
      </c>
      <c r="CJ154" s="48" t="s">
        <v>43</v>
      </c>
      <c r="CK154" s="46" t="s">
        <v>75</v>
      </c>
      <c r="CL154" s="46" t="s">
        <v>44</v>
      </c>
      <c r="CM154" s="47" t="s">
        <v>45</v>
      </c>
      <c r="CN154" s="47" t="s">
        <v>45</v>
      </c>
      <c r="CO154" s="46" t="s">
        <v>42</v>
      </c>
    </row>
    <row r="155" spans="1:93" ht="18.75">
      <c r="A155" s="30">
        <f t="shared" si="5"/>
        <v>87</v>
      </c>
      <c r="B155" s="71" t="s">
        <v>352</v>
      </c>
      <c r="C155" s="169" t="s">
        <v>353</v>
      </c>
      <c r="D155" s="52" t="s">
        <v>354</v>
      </c>
      <c r="E155" s="30" t="s">
        <v>329</v>
      </c>
      <c r="F155" s="22" t="s">
        <v>51</v>
      </c>
      <c r="G155" s="67">
        <v>622</v>
      </c>
      <c r="H155" s="55">
        <v>4.142</v>
      </c>
      <c r="I155" s="68"/>
      <c r="J155" s="56">
        <v>0.141</v>
      </c>
      <c r="K155" s="68"/>
      <c r="L155" s="69"/>
      <c r="M155" s="71">
        <v>6.1</v>
      </c>
      <c r="N155" s="71">
        <v>2</v>
      </c>
      <c r="O155" s="60">
        <v>1244</v>
      </c>
      <c r="P155" s="59">
        <f>1280+203</f>
        <v>1483</v>
      </c>
      <c r="Q155" s="71">
        <v>0</v>
      </c>
      <c r="R155" s="71" t="s">
        <v>94</v>
      </c>
      <c r="S155" s="72"/>
      <c r="T155" s="62"/>
      <c r="U155" s="63"/>
      <c r="V155" s="64"/>
      <c r="W155" s="65"/>
      <c r="X155" s="63"/>
      <c r="Y155" s="63"/>
      <c r="Z155" s="65"/>
      <c r="CH155" s="46" t="s">
        <v>42</v>
      </c>
      <c r="CI155" s="46" t="s">
        <v>355</v>
      </c>
      <c r="CJ155" s="48" t="s">
        <v>43</v>
      </c>
      <c r="CK155" s="46" t="s">
        <v>356</v>
      </c>
      <c r="CL155" s="46" t="s">
        <v>44</v>
      </c>
      <c r="CM155" s="47" t="s">
        <v>45</v>
      </c>
      <c r="CN155" s="47" t="s">
        <v>45</v>
      </c>
      <c r="CO155" s="46" t="s">
        <v>42</v>
      </c>
    </row>
    <row r="156" spans="1:93" ht="39.75" customHeight="1">
      <c r="A156" s="30"/>
      <c r="B156" s="181" t="s">
        <v>357</v>
      </c>
      <c r="C156" s="169"/>
      <c r="D156" s="52"/>
      <c r="E156" s="30"/>
      <c r="F156" s="22"/>
      <c r="G156" s="67"/>
      <c r="H156" s="55"/>
      <c r="I156" s="68"/>
      <c r="J156" s="56"/>
      <c r="K156" s="68"/>
      <c r="L156" s="69"/>
      <c r="M156" s="71"/>
      <c r="N156" s="71"/>
      <c r="O156" s="60"/>
      <c r="P156" s="59"/>
      <c r="Q156" s="71"/>
      <c r="R156" s="71"/>
      <c r="S156" s="72"/>
      <c r="T156" s="62"/>
      <c r="U156" s="63"/>
      <c r="V156" s="64"/>
      <c r="W156" s="65"/>
      <c r="X156" s="63"/>
      <c r="Y156" s="63"/>
      <c r="Z156" s="65"/>
      <c r="CH156" s="46" t="s">
        <v>42</v>
      </c>
      <c r="CI156" s="46" t="s">
        <v>358</v>
      </c>
      <c r="CJ156" s="48" t="s">
        <v>43</v>
      </c>
      <c r="CK156" s="46" t="s">
        <v>356</v>
      </c>
      <c r="CL156" s="46" t="s">
        <v>44</v>
      </c>
      <c r="CM156" s="47" t="s">
        <v>45</v>
      </c>
      <c r="CN156" s="47" t="s">
        <v>45</v>
      </c>
      <c r="CO156" s="46" t="s">
        <v>42</v>
      </c>
    </row>
    <row r="157" spans="1:93" ht="27" customHeight="1">
      <c r="A157" s="30">
        <f>A155+1</f>
        <v>88</v>
      </c>
      <c r="B157" s="71" t="s">
        <v>357</v>
      </c>
      <c r="C157" s="169" t="s">
        <v>49</v>
      </c>
      <c r="D157" s="52" t="s">
        <v>200</v>
      </c>
      <c r="E157" s="30" t="s">
        <v>329</v>
      </c>
      <c r="F157" s="22" t="s">
        <v>51</v>
      </c>
      <c r="G157" s="67">
        <v>682</v>
      </c>
      <c r="H157" s="55">
        <v>11.571</v>
      </c>
      <c r="I157" s="68"/>
      <c r="J157" s="56">
        <v>3.463</v>
      </c>
      <c r="K157" s="68"/>
      <c r="L157" s="69"/>
      <c r="M157" s="71">
        <v>17.6</v>
      </c>
      <c r="N157" s="71">
        <v>2</v>
      </c>
      <c r="O157" s="60">
        <v>1364</v>
      </c>
      <c r="P157" s="59">
        <f>1368+242</f>
        <v>1610</v>
      </c>
      <c r="Q157" s="71"/>
      <c r="R157" s="71" t="s">
        <v>51</v>
      </c>
      <c r="S157" s="72"/>
      <c r="T157" s="62"/>
      <c r="U157" s="63"/>
      <c r="V157" s="64"/>
      <c r="W157" s="65"/>
      <c r="X157" s="63"/>
      <c r="Y157" s="65"/>
      <c r="Z157" s="65"/>
      <c r="CH157" s="46" t="s">
        <v>42</v>
      </c>
      <c r="CI157" s="46" t="s">
        <v>359</v>
      </c>
      <c r="CK157" s="46" t="s">
        <v>356</v>
      </c>
      <c r="CL157" s="46" t="s">
        <v>44</v>
      </c>
      <c r="CM157" s="47" t="s">
        <v>45</v>
      </c>
      <c r="CN157" s="47" t="s">
        <v>45</v>
      </c>
      <c r="CO157" s="46" t="s">
        <v>42</v>
      </c>
    </row>
    <row r="158" spans="1:93" ht="27" customHeight="1">
      <c r="A158" s="30">
        <f aca="true" t="shared" si="6" ref="A158:A187">A157+1</f>
        <v>89</v>
      </c>
      <c r="B158" s="119" t="s">
        <v>360</v>
      </c>
      <c r="C158" s="428" t="s">
        <v>361</v>
      </c>
      <c r="D158" s="428"/>
      <c r="E158" s="94" t="s">
        <v>329</v>
      </c>
      <c r="F158" s="98" t="s">
        <v>51</v>
      </c>
      <c r="G158" s="113">
        <v>29.1</v>
      </c>
      <c r="H158" s="114">
        <v>0.364</v>
      </c>
      <c r="I158" s="115"/>
      <c r="J158" s="116"/>
      <c r="K158" s="115"/>
      <c r="L158" s="117"/>
      <c r="M158" s="118">
        <v>12.5</v>
      </c>
      <c r="N158" s="119">
        <v>2</v>
      </c>
      <c r="O158" s="120">
        <v>58</v>
      </c>
      <c r="P158" s="121"/>
      <c r="Q158" s="119"/>
      <c r="R158" s="119"/>
      <c r="S158" s="122"/>
      <c r="T158" s="62"/>
      <c r="U158" s="63"/>
      <c r="V158" s="64"/>
      <c r="W158" s="65"/>
      <c r="X158" s="63"/>
      <c r="Y158" s="65"/>
      <c r="Z158" s="65"/>
      <c r="CH158" s="46" t="s">
        <v>52</v>
      </c>
      <c r="CI158" s="46"/>
      <c r="CJ158" s="46"/>
      <c r="CK158" s="46"/>
      <c r="CL158" s="46"/>
      <c r="CM158" s="46"/>
      <c r="CN158" s="46"/>
      <c r="CO158" s="46"/>
    </row>
    <row r="159" spans="1:93" s="106" customFormat="1" ht="27" customHeight="1">
      <c r="A159" s="30">
        <f t="shared" si="6"/>
        <v>90</v>
      </c>
      <c r="B159" s="66" t="s">
        <v>362</v>
      </c>
      <c r="C159" s="52" t="s">
        <v>296</v>
      </c>
      <c r="D159" s="52" t="s">
        <v>363</v>
      </c>
      <c r="E159" s="127" t="s">
        <v>329</v>
      </c>
      <c r="F159" s="22" t="s">
        <v>172</v>
      </c>
      <c r="G159" s="132">
        <v>420</v>
      </c>
      <c r="H159" s="197">
        <v>2.86</v>
      </c>
      <c r="I159" s="226"/>
      <c r="J159" s="212">
        <v>0.196</v>
      </c>
      <c r="K159" s="140"/>
      <c r="L159" s="69"/>
      <c r="M159" s="67">
        <v>6.49</v>
      </c>
      <c r="N159" s="71">
        <v>2</v>
      </c>
      <c r="O159" s="60">
        <v>840</v>
      </c>
      <c r="P159" s="59">
        <f>223+1303</f>
        <v>1526</v>
      </c>
      <c r="Q159" s="71"/>
      <c r="R159" s="71"/>
      <c r="S159" s="72"/>
      <c r="T159" s="102"/>
      <c r="U159" s="103"/>
      <c r="V159" s="104"/>
      <c r="W159" s="105"/>
      <c r="X159" s="103"/>
      <c r="Y159" s="105"/>
      <c r="Z159" s="105"/>
      <c r="CH159" s="46" t="s">
        <v>52</v>
      </c>
      <c r="CI159" s="136"/>
      <c r="CJ159" s="136"/>
      <c r="CK159" s="136"/>
      <c r="CL159" s="136"/>
      <c r="CM159" s="136"/>
      <c r="CN159" s="136"/>
      <c r="CO159" s="136"/>
    </row>
    <row r="160" spans="1:93" s="106" customFormat="1" ht="46.5" customHeight="1">
      <c r="A160" s="30">
        <f t="shared" si="6"/>
        <v>91</v>
      </c>
      <c r="B160" s="131" t="s">
        <v>364</v>
      </c>
      <c r="C160" s="52" t="s">
        <v>60</v>
      </c>
      <c r="D160" s="52" t="s">
        <v>365</v>
      </c>
      <c r="E160" s="227" t="s">
        <v>329</v>
      </c>
      <c r="F160" s="228" t="s">
        <v>172</v>
      </c>
      <c r="G160" s="67">
        <v>173</v>
      </c>
      <c r="H160" s="99">
        <v>0.966</v>
      </c>
      <c r="I160" s="140"/>
      <c r="J160" s="68">
        <v>0.335</v>
      </c>
      <c r="K160" s="229"/>
      <c r="L160" s="101"/>
      <c r="M160" s="134">
        <v>6</v>
      </c>
      <c r="N160" s="131">
        <v>2</v>
      </c>
      <c r="O160" s="60">
        <v>346</v>
      </c>
      <c r="P160" s="134">
        <f>21+566</f>
        <v>587</v>
      </c>
      <c r="Q160" s="134"/>
      <c r="R160" s="134"/>
      <c r="S160" s="135"/>
      <c r="T160" s="102"/>
      <c r="U160" s="103"/>
      <c r="V160" s="104"/>
      <c r="W160" s="105"/>
      <c r="X160" s="103"/>
      <c r="Y160" s="105"/>
      <c r="Z160" s="105"/>
      <c r="CH160" s="46" t="s">
        <v>42</v>
      </c>
      <c r="CI160" s="52" t="s">
        <v>366</v>
      </c>
      <c r="CJ160" s="48" t="s">
        <v>43</v>
      </c>
      <c r="CK160" s="46" t="s">
        <v>89</v>
      </c>
      <c r="CL160" s="46" t="s">
        <v>44</v>
      </c>
      <c r="CM160" s="47" t="s">
        <v>45</v>
      </c>
      <c r="CN160" s="47" t="s">
        <v>45</v>
      </c>
      <c r="CO160" s="46" t="s">
        <v>42</v>
      </c>
    </row>
    <row r="161" spans="1:93" ht="45" customHeight="1">
      <c r="A161" s="30">
        <f t="shared" si="6"/>
        <v>92</v>
      </c>
      <c r="B161" s="66" t="s">
        <v>159</v>
      </c>
      <c r="C161" s="52" t="s">
        <v>367</v>
      </c>
      <c r="D161" s="52" t="s">
        <v>92</v>
      </c>
      <c r="E161" s="127" t="s">
        <v>329</v>
      </c>
      <c r="F161" s="22" t="s">
        <v>51</v>
      </c>
      <c r="G161" s="54">
        <v>915</v>
      </c>
      <c r="H161" s="55">
        <v>9.608</v>
      </c>
      <c r="I161" s="56"/>
      <c r="J161" s="56">
        <v>0.057</v>
      </c>
      <c r="K161" s="68"/>
      <c r="L161" s="69"/>
      <c r="M161" s="70">
        <v>9.6</v>
      </c>
      <c r="N161" s="71">
        <v>2</v>
      </c>
      <c r="O161" s="60">
        <v>1830</v>
      </c>
      <c r="P161" s="59">
        <f>292+2006</f>
        <v>2298</v>
      </c>
      <c r="Q161" s="71">
        <v>0</v>
      </c>
      <c r="R161" s="71"/>
      <c r="S161" s="72"/>
      <c r="T161" s="62"/>
      <c r="U161" s="63"/>
      <c r="V161" s="64"/>
      <c r="W161" s="65"/>
      <c r="X161" s="63"/>
      <c r="Y161" s="65"/>
      <c r="Z161" s="65"/>
      <c r="CH161" s="46" t="s">
        <v>42</v>
      </c>
      <c r="CI161" s="52" t="s">
        <v>368</v>
      </c>
      <c r="CJ161" s="48" t="s">
        <v>43</v>
      </c>
      <c r="CK161" s="46" t="s">
        <v>89</v>
      </c>
      <c r="CL161" s="46" t="s">
        <v>44</v>
      </c>
      <c r="CM161" s="47" t="s">
        <v>45</v>
      </c>
      <c r="CN161" s="47" t="s">
        <v>45</v>
      </c>
      <c r="CO161" s="46" t="s">
        <v>42</v>
      </c>
    </row>
    <row r="162" spans="1:93" ht="39.75" customHeight="1">
      <c r="A162" s="30">
        <f t="shared" si="6"/>
        <v>93</v>
      </c>
      <c r="B162" s="71" t="s">
        <v>369</v>
      </c>
      <c r="C162" s="187" t="s">
        <v>370</v>
      </c>
      <c r="D162" s="188" t="s">
        <v>371</v>
      </c>
      <c r="E162" s="30" t="s">
        <v>329</v>
      </c>
      <c r="F162" s="22" t="s">
        <v>50</v>
      </c>
      <c r="G162" s="67">
        <v>652</v>
      </c>
      <c r="H162" s="55">
        <v>4.292</v>
      </c>
      <c r="I162" s="68"/>
      <c r="J162" s="56"/>
      <c r="K162" s="68"/>
      <c r="L162" s="69"/>
      <c r="M162" s="71">
        <v>6.4</v>
      </c>
      <c r="N162" s="71">
        <v>0</v>
      </c>
      <c r="O162" s="60">
        <f>G162*N162</f>
        <v>0</v>
      </c>
      <c r="P162" s="59"/>
      <c r="Q162" s="71"/>
      <c r="R162" s="71"/>
      <c r="S162" s="72">
        <v>4.292</v>
      </c>
      <c r="T162" s="62"/>
      <c r="U162" s="63"/>
      <c r="V162" s="64"/>
      <c r="W162" s="65"/>
      <c r="X162" s="63"/>
      <c r="Y162" s="65"/>
      <c r="Z162" s="65"/>
      <c r="CH162" s="46" t="s">
        <v>52</v>
      </c>
      <c r="CI162" s="46"/>
      <c r="CJ162" s="46"/>
      <c r="CK162" s="46"/>
      <c r="CL162" s="46"/>
      <c r="CM162" s="46"/>
      <c r="CN162" s="46"/>
      <c r="CO162" s="46"/>
    </row>
    <row r="163" spans="1:93" ht="27" customHeight="1">
      <c r="A163" s="30">
        <f t="shared" si="6"/>
        <v>94</v>
      </c>
      <c r="B163" s="71" t="s">
        <v>372</v>
      </c>
      <c r="C163" s="169" t="s">
        <v>373</v>
      </c>
      <c r="D163" s="52" t="s">
        <v>374</v>
      </c>
      <c r="E163" s="30" t="s">
        <v>329</v>
      </c>
      <c r="F163" s="22" t="s">
        <v>51</v>
      </c>
      <c r="G163" s="67">
        <v>766</v>
      </c>
      <c r="H163" s="55">
        <v>4.462</v>
      </c>
      <c r="I163" s="68"/>
      <c r="J163" s="56"/>
      <c r="K163" s="68"/>
      <c r="L163" s="69"/>
      <c r="M163" s="71">
        <v>6.4</v>
      </c>
      <c r="N163" s="71">
        <v>2</v>
      </c>
      <c r="O163" s="60">
        <v>833</v>
      </c>
      <c r="P163" s="71">
        <f>833</f>
        <v>833</v>
      </c>
      <c r="Q163" s="71">
        <v>0</v>
      </c>
      <c r="R163" s="71"/>
      <c r="S163" s="72">
        <v>4.462</v>
      </c>
      <c r="T163" s="62"/>
      <c r="U163" s="63"/>
      <c r="V163" s="64"/>
      <c r="W163" s="65"/>
      <c r="X163" s="63"/>
      <c r="Y163" s="65"/>
      <c r="Z163" s="65"/>
      <c r="CH163" s="46" t="s">
        <v>52</v>
      </c>
      <c r="CI163" s="46"/>
      <c r="CJ163" s="46"/>
      <c r="CK163" s="46"/>
      <c r="CL163" s="46"/>
      <c r="CM163" s="46"/>
      <c r="CN163" s="46"/>
      <c r="CO163" s="46"/>
    </row>
    <row r="164" spans="1:93" ht="27" customHeight="1">
      <c r="A164" s="30">
        <f t="shared" si="6"/>
        <v>95</v>
      </c>
      <c r="B164" s="119" t="s">
        <v>375</v>
      </c>
      <c r="C164" s="192" t="s">
        <v>376</v>
      </c>
      <c r="D164" s="119"/>
      <c r="E164" s="94" t="s">
        <v>329</v>
      </c>
      <c r="F164" s="98" t="s">
        <v>50</v>
      </c>
      <c r="G164" s="113">
        <v>306</v>
      </c>
      <c r="H164" s="114">
        <v>4.88</v>
      </c>
      <c r="I164" s="115"/>
      <c r="J164" s="116"/>
      <c r="K164" s="115"/>
      <c r="L164" s="117"/>
      <c r="M164" s="119">
        <v>16</v>
      </c>
      <c r="N164" s="119">
        <v>2</v>
      </c>
      <c r="O164" s="120">
        <v>612</v>
      </c>
      <c r="P164" s="121"/>
      <c r="Q164" s="119"/>
      <c r="R164" s="119"/>
      <c r="S164" s="122"/>
      <c r="T164" s="62"/>
      <c r="U164" s="63"/>
      <c r="V164" s="64"/>
      <c r="W164" s="65"/>
      <c r="X164" s="63"/>
      <c r="Y164" s="65"/>
      <c r="Z164" s="65"/>
      <c r="CH164" s="46" t="s">
        <v>52</v>
      </c>
      <c r="CI164" s="46"/>
      <c r="CJ164" s="46"/>
      <c r="CK164" s="46"/>
      <c r="CL164" s="46"/>
      <c r="CM164" s="46"/>
      <c r="CN164" s="46"/>
      <c r="CO164" s="46"/>
    </row>
    <row r="165" spans="1:93" ht="27" customHeight="1">
      <c r="A165" s="30">
        <f t="shared" si="6"/>
        <v>96</v>
      </c>
      <c r="B165" s="71" t="s">
        <v>377</v>
      </c>
      <c r="C165" s="169" t="s">
        <v>281</v>
      </c>
      <c r="D165" s="52" t="s">
        <v>378</v>
      </c>
      <c r="E165" s="30" t="s">
        <v>329</v>
      </c>
      <c r="F165" s="22" t="s">
        <v>172</v>
      </c>
      <c r="G165" s="67">
        <v>215</v>
      </c>
      <c r="H165" s="55">
        <v>1.814</v>
      </c>
      <c r="I165" s="140"/>
      <c r="J165" s="56"/>
      <c r="K165" s="140"/>
      <c r="L165" s="69"/>
      <c r="M165" s="67">
        <v>6.31</v>
      </c>
      <c r="N165" s="71">
        <v>2</v>
      </c>
      <c r="O165" s="60">
        <v>430</v>
      </c>
      <c r="P165" s="59">
        <f>29+515</f>
        <v>544</v>
      </c>
      <c r="Q165" s="71"/>
      <c r="R165" s="71"/>
      <c r="S165" s="72"/>
      <c r="T165" s="62"/>
      <c r="U165" s="63"/>
      <c r="V165" s="64"/>
      <c r="W165" s="65"/>
      <c r="X165" s="63"/>
      <c r="Y165" s="65"/>
      <c r="Z165" s="65"/>
      <c r="CH165" s="46" t="s">
        <v>52</v>
      </c>
      <c r="CI165" s="46"/>
      <c r="CJ165" s="46"/>
      <c r="CK165" s="46"/>
      <c r="CL165" s="46"/>
      <c r="CM165" s="46"/>
      <c r="CN165" s="46"/>
      <c r="CO165" s="46"/>
    </row>
    <row r="166" spans="1:93" ht="27" customHeight="1">
      <c r="A166" s="30">
        <f t="shared" si="6"/>
        <v>97</v>
      </c>
      <c r="B166" s="71" t="s">
        <v>379</v>
      </c>
      <c r="C166" s="169" t="s">
        <v>380</v>
      </c>
      <c r="D166" s="52" t="s">
        <v>381</v>
      </c>
      <c r="E166" s="30" t="s">
        <v>329</v>
      </c>
      <c r="F166" s="22"/>
      <c r="G166" s="67">
        <v>318.2</v>
      </c>
      <c r="H166" s="55">
        <v>2.341</v>
      </c>
      <c r="I166" s="140"/>
      <c r="J166" s="56"/>
      <c r="K166" s="140"/>
      <c r="L166" s="69"/>
      <c r="M166" s="67"/>
      <c r="N166" s="71">
        <v>2</v>
      </c>
      <c r="O166" s="60">
        <f>G166*N166</f>
        <v>636</v>
      </c>
      <c r="P166" s="59">
        <f>637+116</f>
        <v>753</v>
      </c>
      <c r="Q166" s="71"/>
      <c r="R166" s="71"/>
      <c r="S166" s="72"/>
      <c r="T166" s="62"/>
      <c r="U166" s="63"/>
      <c r="V166" s="64"/>
      <c r="W166" s="65"/>
      <c r="X166" s="63"/>
      <c r="Y166" s="65"/>
      <c r="Z166" s="65"/>
      <c r="CH166" s="46" t="s">
        <v>52</v>
      </c>
      <c r="CI166" s="46"/>
      <c r="CJ166" s="46"/>
      <c r="CK166" s="46"/>
      <c r="CL166" s="46"/>
      <c r="CM166" s="46"/>
      <c r="CN166" s="46"/>
      <c r="CO166" s="46"/>
    </row>
    <row r="167" spans="1:93" ht="27" customHeight="1">
      <c r="A167" s="30">
        <f t="shared" si="6"/>
        <v>98</v>
      </c>
      <c r="B167" s="71" t="s">
        <v>382</v>
      </c>
      <c r="C167" s="169" t="s">
        <v>383</v>
      </c>
      <c r="D167" s="52" t="s">
        <v>384</v>
      </c>
      <c r="E167" s="30" t="s">
        <v>329</v>
      </c>
      <c r="F167" s="22" t="s">
        <v>172</v>
      </c>
      <c r="G167" s="67">
        <v>88</v>
      </c>
      <c r="H167" s="55">
        <v>1.187</v>
      </c>
      <c r="I167" s="140"/>
      <c r="J167" s="56"/>
      <c r="K167" s="140"/>
      <c r="L167" s="69"/>
      <c r="M167" s="71">
        <v>13</v>
      </c>
      <c r="N167" s="71">
        <v>2</v>
      </c>
      <c r="O167" s="60">
        <v>167</v>
      </c>
      <c r="P167" s="59">
        <v>167</v>
      </c>
      <c r="Q167" s="71"/>
      <c r="R167" s="71"/>
      <c r="S167" s="72"/>
      <c r="T167" s="62"/>
      <c r="U167" s="63"/>
      <c r="V167" s="64"/>
      <c r="W167" s="65"/>
      <c r="X167" s="63"/>
      <c r="Y167" s="65"/>
      <c r="Z167" s="65"/>
      <c r="CH167" s="46" t="s">
        <v>52</v>
      </c>
      <c r="CI167" s="46"/>
      <c r="CJ167" s="46"/>
      <c r="CK167" s="46"/>
      <c r="CL167" s="46"/>
      <c r="CM167" s="46"/>
      <c r="CN167" s="46"/>
      <c r="CO167" s="46"/>
    </row>
    <row r="168" spans="1:93" ht="27" customHeight="1">
      <c r="A168" s="30">
        <f t="shared" si="6"/>
        <v>99</v>
      </c>
      <c r="B168" s="71" t="s">
        <v>385</v>
      </c>
      <c r="C168" s="169" t="s">
        <v>386</v>
      </c>
      <c r="D168" s="52" t="s">
        <v>387</v>
      </c>
      <c r="E168" s="30" t="s">
        <v>329</v>
      </c>
      <c r="F168" s="22" t="s">
        <v>51</v>
      </c>
      <c r="G168" s="67">
        <v>578</v>
      </c>
      <c r="H168" s="55">
        <v>5.441</v>
      </c>
      <c r="I168" s="68"/>
      <c r="J168" s="56"/>
      <c r="K168" s="68"/>
      <c r="L168" s="69"/>
      <c r="M168" s="71">
        <v>9.1</v>
      </c>
      <c r="N168" s="71">
        <v>2</v>
      </c>
      <c r="O168" s="60">
        <v>1156</v>
      </c>
      <c r="P168" s="59">
        <f>240+2614</f>
        <v>2854</v>
      </c>
      <c r="Q168" s="71">
        <v>0</v>
      </c>
      <c r="R168" s="71" t="s">
        <v>51</v>
      </c>
      <c r="S168" s="72"/>
      <c r="T168" s="62"/>
      <c r="U168" s="63"/>
      <c r="V168" s="64"/>
      <c r="W168" s="65"/>
      <c r="X168" s="63"/>
      <c r="Y168" s="65"/>
      <c r="Z168" s="65"/>
      <c r="CH168" s="46" t="s">
        <v>52</v>
      </c>
      <c r="CI168" s="46"/>
      <c r="CJ168" s="46"/>
      <c r="CK168" s="46"/>
      <c r="CL168" s="46"/>
      <c r="CM168" s="46"/>
      <c r="CN168" s="46"/>
      <c r="CO168" s="46"/>
    </row>
    <row r="169" spans="1:93" ht="42" customHeight="1">
      <c r="A169" s="30">
        <f t="shared" si="6"/>
        <v>100</v>
      </c>
      <c r="B169" s="181" t="s">
        <v>388</v>
      </c>
      <c r="C169" s="417" t="s">
        <v>389</v>
      </c>
      <c r="D169" s="417"/>
      <c r="E169" s="30" t="s">
        <v>329</v>
      </c>
      <c r="F169" s="22" t="s">
        <v>50</v>
      </c>
      <c r="G169" s="67">
        <v>139</v>
      </c>
      <c r="H169" s="55">
        <v>1.371</v>
      </c>
      <c r="I169" s="68"/>
      <c r="J169" s="56"/>
      <c r="K169" s="68"/>
      <c r="L169" s="69"/>
      <c r="M169" s="71">
        <v>9.1</v>
      </c>
      <c r="N169" s="71">
        <v>2</v>
      </c>
      <c r="O169" s="60">
        <v>278</v>
      </c>
      <c r="P169" s="59">
        <f>278+320</f>
        <v>598</v>
      </c>
      <c r="Q169" s="71"/>
      <c r="R169" s="71"/>
      <c r="S169" s="72"/>
      <c r="T169" s="62"/>
      <c r="U169" s="63"/>
      <c r="V169" s="64"/>
      <c r="W169" s="65"/>
      <c r="X169" s="63"/>
      <c r="Y169" s="65"/>
      <c r="Z169" s="65"/>
      <c r="CH169" s="46" t="s">
        <v>42</v>
      </c>
      <c r="CI169" s="22" t="s">
        <v>390</v>
      </c>
      <c r="CJ169" s="48" t="s">
        <v>43</v>
      </c>
      <c r="CK169" s="46" t="s">
        <v>176</v>
      </c>
      <c r="CL169" s="46" t="s">
        <v>44</v>
      </c>
      <c r="CM169" s="47" t="s">
        <v>45</v>
      </c>
      <c r="CN169" s="47" t="s">
        <v>45</v>
      </c>
      <c r="CO169" s="46" t="s">
        <v>42</v>
      </c>
    </row>
    <row r="170" spans="1:93" ht="54" customHeight="1">
      <c r="A170" s="30">
        <f t="shared" si="6"/>
        <v>101</v>
      </c>
      <c r="B170" s="71" t="s">
        <v>391</v>
      </c>
      <c r="C170" s="169" t="s">
        <v>199</v>
      </c>
      <c r="D170" s="52" t="s">
        <v>200</v>
      </c>
      <c r="E170" s="30" t="s">
        <v>329</v>
      </c>
      <c r="F170" s="22" t="s">
        <v>50</v>
      </c>
      <c r="G170" s="67">
        <v>216</v>
      </c>
      <c r="H170" s="55">
        <v>1.794</v>
      </c>
      <c r="I170" s="68"/>
      <c r="J170" s="56"/>
      <c r="K170" s="68"/>
      <c r="L170" s="69"/>
      <c r="M170" s="71">
        <v>9</v>
      </c>
      <c r="N170" s="71">
        <v>2</v>
      </c>
      <c r="O170" s="60">
        <v>432</v>
      </c>
      <c r="P170" s="59">
        <f>34+417</f>
        <v>451</v>
      </c>
      <c r="Q170" s="71"/>
      <c r="R170" s="71"/>
      <c r="S170" s="72"/>
      <c r="T170" s="62"/>
      <c r="U170" s="63"/>
      <c r="V170" s="64"/>
      <c r="W170" s="65"/>
      <c r="X170" s="63"/>
      <c r="Y170" s="65"/>
      <c r="Z170" s="65"/>
      <c r="CH170" s="46" t="s">
        <v>42</v>
      </c>
      <c r="CI170" s="187" t="s">
        <v>201</v>
      </c>
      <c r="CJ170" s="48" t="s">
        <v>43</v>
      </c>
      <c r="CK170" s="46" t="s">
        <v>65</v>
      </c>
      <c r="CL170" s="46" t="s">
        <v>44</v>
      </c>
      <c r="CM170" s="46" t="s">
        <v>45</v>
      </c>
      <c r="CN170" s="46" t="s">
        <v>45</v>
      </c>
      <c r="CO170" s="46" t="s">
        <v>42</v>
      </c>
    </row>
    <row r="171" spans="1:93" ht="27" customHeight="1">
      <c r="A171" s="30">
        <f t="shared" si="6"/>
        <v>102</v>
      </c>
      <c r="B171" s="71" t="s">
        <v>392</v>
      </c>
      <c r="C171" s="190" t="s">
        <v>393</v>
      </c>
      <c r="D171" s="195" t="s">
        <v>394</v>
      </c>
      <c r="E171" s="30" t="s">
        <v>329</v>
      </c>
      <c r="F171" s="22" t="s">
        <v>50</v>
      </c>
      <c r="G171" s="67">
        <v>387</v>
      </c>
      <c r="H171" s="55">
        <v>4.196</v>
      </c>
      <c r="I171" s="68"/>
      <c r="J171" s="56">
        <v>0.111</v>
      </c>
      <c r="K171" s="68"/>
      <c r="L171" s="69"/>
      <c r="M171" s="71">
        <v>11.5</v>
      </c>
      <c r="N171" s="71">
        <v>2</v>
      </c>
      <c r="O171" s="60">
        <v>774</v>
      </c>
      <c r="P171" s="59">
        <f>282+533</f>
        <v>815</v>
      </c>
      <c r="Q171" s="71"/>
      <c r="R171" s="71"/>
      <c r="S171" s="72"/>
      <c r="T171" s="62"/>
      <c r="U171" s="63"/>
      <c r="V171" s="64"/>
      <c r="W171" s="65"/>
      <c r="X171" s="63"/>
      <c r="Y171" s="65"/>
      <c r="Z171" s="65"/>
      <c r="CH171" s="46" t="s">
        <v>42</v>
      </c>
      <c r="CI171" s="46" t="s">
        <v>395</v>
      </c>
      <c r="CJ171" s="48" t="s">
        <v>43</v>
      </c>
      <c r="CK171" s="46" t="s">
        <v>85</v>
      </c>
      <c r="CL171" s="46" t="s">
        <v>44</v>
      </c>
      <c r="CM171" s="47" t="s">
        <v>45</v>
      </c>
      <c r="CN171" s="47" t="s">
        <v>45</v>
      </c>
      <c r="CO171" s="46" t="s">
        <v>42</v>
      </c>
    </row>
    <row r="172" spans="1:93" s="106" customFormat="1" ht="58.5" customHeight="1">
      <c r="A172" s="30">
        <f t="shared" si="6"/>
        <v>103</v>
      </c>
      <c r="B172" s="131" t="s">
        <v>396</v>
      </c>
      <c r="C172" s="52" t="s">
        <v>308</v>
      </c>
      <c r="D172" s="52" t="s">
        <v>82</v>
      </c>
      <c r="E172" s="53" t="s">
        <v>329</v>
      </c>
      <c r="F172" s="22" t="s">
        <v>50</v>
      </c>
      <c r="G172" s="132">
        <v>542.64</v>
      </c>
      <c r="H172" s="55">
        <v>4.204</v>
      </c>
      <c r="I172" s="100"/>
      <c r="J172" s="100"/>
      <c r="K172" s="100"/>
      <c r="L172" s="152"/>
      <c r="M172" s="134">
        <v>7.4</v>
      </c>
      <c r="N172" s="134">
        <v>2</v>
      </c>
      <c r="O172" s="60">
        <v>1085</v>
      </c>
      <c r="P172" s="213">
        <v>1202</v>
      </c>
      <c r="Q172" s="134"/>
      <c r="R172" s="134"/>
      <c r="S172" s="135"/>
      <c r="T172" s="102"/>
      <c r="U172" s="103"/>
      <c r="V172" s="104"/>
      <c r="W172" s="105"/>
      <c r="X172" s="103"/>
      <c r="Y172" s="105"/>
      <c r="Z172" s="105"/>
      <c r="CH172" s="95" t="s">
        <v>62</v>
      </c>
      <c r="CI172" s="95" t="s">
        <v>397</v>
      </c>
      <c r="CJ172" s="96" t="s">
        <v>64</v>
      </c>
      <c r="CK172" s="97" t="s">
        <v>89</v>
      </c>
      <c r="CL172" s="97" t="s">
        <v>66</v>
      </c>
      <c r="CM172" s="97" t="s">
        <v>67</v>
      </c>
      <c r="CN172" s="96" t="s">
        <v>45</v>
      </c>
      <c r="CO172" s="96"/>
    </row>
    <row r="173" spans="1:93" s="106" customFormat="1" ht="51.75" customHeight="1">
      <c r="A173" s="30">
        <f t="shared" si="6"/>
        <v>104</v>
      </c>
      <c r="B173" s="131" t="s">
        <v>396</v>
      </c>
      <c r="C173" s="52" t="s">
        <v>82</v>
      </c>
      <c r="D173" s="52" t="s">
        <v>195</v>
      </c>
      <c r="E173" s="127" t="s">
        <v>329</v>
      </c>
      <c r="F173" s="22" t="s">
        <v>50</v>
      </c>
      <c r="G173" s="132">
        <v>103.36</v>
      </c>
      <c r="H173" s="55">
        <v>0.84</v>
      </c>
      <c r="I173" s="100"/>
      <c r="J173" s="100"/>
      <c r="K173" s="100"/>
      <c r="L173" s="101"/>
      <c r="M173" s="134">
        <v>8.5</v>
      </c>
      <c r="N173" s="131">
        <v>2</v>
      </c>
      <c r="O173" s="60">
        <v>176</v>
      </c>
      <c r="P173" s="71">
        <v>176</v>
      </c>
      <c r="Q173" s="134"/>
      <c r="R173" s="134"/>
      <c r="S173" s="135"/>
      <c r="T173" s="102"/>
      <c r="U173" s="103"/>
      <c r="V173" s="104"/>
      <c r="W173" s="105"/>
      <c r="X173" s="103"/>
      <c r="Y173" s="105"/>
      <c r="Z173" s="105"/>
      <c r="CH173" s="95" t="s">
        <v>62</v>
      </c>
      <c r="CI173" s="95" t="s">
        <v>397</v>
      </c>
      <c r="CJ173" s="96" t="s">
        <v>71</v>
      </c>
      <c r="CK173" s="97" t="s">
        <v>89</v>
      </c>
      <c r="CL173" s="97" t="s">
        <v>66</v>
      </c>
      <c r="CM173" s="97" t="s">
        <v>67</v>
      </c>
      <c r="CN173" s="96" t="s">
        <v>45</v>
      </c>
      <c r="CO173" s="96"/>
    </row>
    <row r="174" spans="1:93" s="106" customFormat="1" ht="27" customHeight="1">
      <c r="A174" s="30">
        <f t="shared" si="6"/>
        <v>105</v>
      </c>
      <c r="B174" s="131" t="s">
        <v>398</v>
      </c>
      <c r="C174" s="52" t="s">
        <v>399</v>
      </c>
      <c r="D174" s="52" t="s">
        <v>400</v>
      </c>
      <c r="E174" s="127" t="s">
        <v>329</v>
      </c>
      <c r="F174" s="22" t="s">
        <v>172</v>
      </c>
      <c r="G174" s="132">
        <v>114</v>
      </c>
      <c r="H174" s="55">
        <v>0.68</v>
      </c>
      <c r="I174" s="226"/>
      <c r="J174" s="100"/>
      <c r="K174" s="226"/>
      <c r="L174" s="101"/>
      <c r="M174" s="132">
        <v>6.25</v>
      </c>
      <c r="N174" s="131">
        <v>2</v>
      </c>
      <c r="O174" s="60">
        <v>116</v>
      </c>
      <c r="P174" s="71">
        <v>116</v>
      </c>
      <c r="Q174" s="23">
        <v>5</v>
      </c>
      <c r="R174" s="23" t="s">
        <v>114</v>
      </c>
      <c r="S174" s="135"/>
      <c r="T174" s="102"/>
      <c r="U174" s="103"/>
      <c r="V174" s="104"/>
      <c r="W174" s="105"/>
      <c r="X174" s="103"/>
      <c r="Y174" s="105"/>
      <c r="Z174" s="105"/>
      <c r="CH174" s="46" t="s">
        <v>42</v>
      </c>
      <c r="CI174" s="136" t="s">
        <v>401</v>
      </c>
      <c r="CJ174" s="48" t="s">
        <v>43</v>
      </c>
      <c r="CK174" s="136" t="s">
        <v>402</v>
      </c>
      <c r="CL174" s="46" t="s">
        <v>44</v>
      </c>
      <c r="CM174" s="47" t="s">
        <v>45</v>
      </c>
      <c r="CN174" s="47" t="s">
        <v>45</v>
      </c>
      <c r="CO174" s="46" t="s">
        <v>42</v>
      </c>
    </row>
    <row r="175" spans="1:93" ht="40.5" customHeight="1">
      <c r="A175" s="30">
        <f t="shared" si="6"/>
        <v>106</v>
      </c>
      <c r="B175" s="66" t="s">
        <v>403</v>
      </c>
      <c r="C175" s="52" t="s">
        <v>399</v>
      </c>
      <c r="D175" s="52" t="s">
        <v>93</v>
      </c>
      <c r="E175" s="53" t="s">
        <v>329</v>
      </c>
      <c r="F175" s="22" t="s">
        <v>50</v>
      </c>
      <c r="G175" s="67">
        <v>194</v>
      </c>
      <c r="H175" s="99">
        <v>1.855</v>
      </c>
      <c r="I175" s="68"/>
      <c r="J175" s="68"/>
      <c r="K175" s="68"/>
      <c r="L175" s="69"/>
      <c r="M175" s="71">
        <v>10</v>
      </c>
      <c r="N175" s="71">
        <v>2</v>
      </c>
      <c r="O175" s="60">
        <v>379</v>
      </c>
      <c r="P175" s="71">
        <v>379</v>
      </c>
      <c r="Q175" s="71"/>
      <c r="R175" s="71"/>
      <c r="S175" s="72"/>
      <c r="T175" s="62"/>
      <c r="U175" s="63"/>
      <c r="V175" s="64"/>
      <c r="W175" s="65"/>
      <c r="X175" s="63"/>
      <c r="Y175" s="65"/>
      <c r="Z175" s="65"/>
      <c r="CH175" s="46" t="s">
        <v>52</v>
      </c>
      <c r="CI175" s="46"/>
      <c r="CJ175" s="46"/>
      <c r="CK175" s="46"/>
      <c r="CL175" s="46"/>
      <c r="CM175" s="46"/>
      <c r="CN175" s="46"/>
      <c r="CO175" s="46"/>
    </row>
    <row r="176" spans="1:93" ht="27" customHeight="1">
      <c r="A176" s="30">
        <f t="shared" si="6"/>
        <v>107</v>
      </c>
      <c r="B176" s="188" t="s">
        <v>404</v>
      </c>
      <c r="C176" s="230" t="s">
        <v>405</v>
      </c>
      <c r="D176" s="231" t="s">
        <v>406</v>
      </c>
      <c r="E176" s="30" t="s">
        <v>329</v>
      </c>
      <c r="F176" s="30" t="s">
        <v>50</v>
      </c>
      <c r="G176" s="54">
        <v>266</v>
      </c>
      <c r="H176" s="55">
        <v>1.856</v>
      </c>
      <c r="I176" s="56"/>
      <c r="J176" s="56"/>
      <c r="K176" s="56"/>
      <c r="L176" s="58"/>
      <c r="M176" s="59">
        <v>8.1</v>
      </c>
      <c r="N176" s="59">
        <v>2</v>
      </c>
      <c r="O176" s="60">
        <v>532</v>
      </c>
      <c r="P176" s="59">
        <f>290+422</f>
        <v>712</v>
      </c>
      <c r="Q176" s="59"/>
      <c r="R176" s="59"/>
      <c r="S176" s="61"/>
      <c r="T176" s="62"/>
      <c r="U176" s="63"/>
      <c r="V176" s="64"/>
      <c r="W176" s="65"/>
      <c r="X176" s="63"/>
      <c r="Y176" s="65"/>
      <c r="Z176" s="65"/>
      <c r="CH176" s="46" t="s">
        <v>42</v>
      </c>
      <c r="CI176" s="46" t="s">
        <v>407</v>
      </c>
      <c r="CJ176" s="48" t="s">
        <v>43</v>
      </c>
      <c r="CK176" s="46" t="s">
        <v>286</v>
      </c>
      <c r="CL176" s="46" t="s">
        <v>44</v>
      </c>
      <c r="CM176" s="47" t="s">
        <v>45</v>
      </c>
      <c r="CN176" s="47" t="s">
        <v>45</v>
      </c>
      <c r="CO176" s="46" t="s">
        <v>42</v>
      </c>
    </row>
    <row r="177" spans="1:93" s="106" customFormat="1" ht="27" customHeight="1">
      <c r="A177" s="30">
        <f t="shared" si="6"/>
        <v>108</v>
      </c>
      <c r="B177" s="66" t="s">
        <v>408</v>
      </c>
      <c r="C177" s="52" t="s">
        <v>409</v>
      </c>
      <c r="D177" s="52" t="s">
        <v>410</v>
      </c>
      <c r="E177" s="53" t="s">
        <v>329</v>
      </c>
      <c r="F177" s="22" t="s">
        <v>172</v>
      </c>
      <c r="G177" s="67">
        <v>196</v>
      </c>
      <c r="H177" s="55">
        <v>2.779</v>
      </c>
      <c r="I177" s="140"/>
      <c r="J177" s="56"/>
      <c r="K177" s="140"/>
      <c r="L177" s="69"/>
      <c r="M177" s="183">
        <v>9</v>
      </c>
      <c r="N177" s="71">
        <v>2</v>
      </c>
      <c r="O177" s="60">
        <v>392</v>
      </c>
      <c r="P177" s="59">
        <f>178+515</f>
        <v>693</v>
      </c>
      <c r="Q177" s="71"/>
      <c r="R177" s="71"/>
      <c r="S177" s="72"/>
      <c r="T177" s="102"/>
      <c r="U177" s="103"/>
      <c r="V177" s="104"/>
      <c r="W177" s="105"/>
      <c r="X177" s="103"/>
      <c r="Y177" s="105"/>
      <c r="Z177" s="105"/>
      <c r="CH177" s="46" t="s">
        <v>52</v>
      </c>
      <c r="CI177" s="136"/>
      <c r="CJ177" s="136"/>
      <c r="CK177" s="136"/>
      <c r="CL177" s="136"/>
      <c r="CM177" s="136"/>
      <c r="CN177" s="136"/>
      <c r="CO177" s="136"/>
    </row>
    <row r="178" spans="1:93" ht="42" customHeight="1">
      <c r="A178" s="30">
        <f t="shared" si="6"/>
        <v>109</v>
      </c>
      <c r="B178" s="71" t="s">
        <v>411</v>
      </c>
      <c r="C178" s="187" t="s">
        <v>199</v>
      </c>
      <c r="D178" s="188" t="s">
        <v>412</v>
      </c>
      <c r="E178" s="30" t="s">
        <v>329</v>
      </c>
      <c r="F178" s="22" t="s">
        <v>51</v>
      </c>
      <c r="G178" s="67">
        <v>388</v>
      </c>
      <c r="H178" s="55">
        <v>4.235</v>
      </c>
      <c r="I178" s="68"/>
      <c r="J178" s="56"/>
      <c r="K178" s="68"/>
      <c r="L178" s="69"/>
      <c r="M178" s="71">
        <v>9.1</v>
      </c>
      <c r="N178" s="71">
        <v>2</v>
      </c>
      <c r="O178" s="60">
        <v>776</v>
      </c>
      <c r="P178" s="59">
        <f>296+552</f>
        <v>848</v>
      </c>
      <c r="Q178" s="71">
        <v>0</v>
      </c>
      <c r="R178" s="71"/>
      <c r="S178" s="72"/>
      <c r="T178" s="62"/>
      <c r="U178" s="63"/>
      <c r="V178" s="64"/>
      <c r="W178" s="65"/>
      <c r="X178" s="63"/>
      <c r="Y178" s="65"/>
      <c r="Z178" s="65"/>
      <c r="CH178" s="46" t="s">
        <v>42</v>
      </c>
      <c r="CI178" s="187" t="s">
        <v>413</v>
      </c>
      <c r="CJ178" s="48" t="s">
        <v>43</v>
      </c>
      <c r="CK178" s="97" t="s">
        <v>85</v>
      </c>
      <c r="CL178" s="46" t="s">
        <v>44</v>
      </c>
      <c r="CM178" s="46" t="s">
        <v>45</v>
      </c>
      <c r="CN178" s="46" t="s">
        <v>45</v>
      </c>
      <c r="CO178" s="46" t="s">
        <v>42</v>
      </c>
    </row>
    <row r="179" spans="1:93" ht="27" customHeight="1">
      <c r="A179" s="30">
        <f t="shared" si="6"/>
        <v>110</v>
      </c>
      <c r="B179" s="71" t="s">
        <v>414</v>
      </c>
      <c r="C179" s="169" t="s">
        <v>250</v>
      </c>
      <c r="D179" s="52" t="s">
        <v>209</v>
      </c>
      <c r="E179" s="30" t="s">
        <v>329</v>
      </c>
      <c r="F179" s="22" t="s">
        <v>50</v>
      </c>
      <c r="G179" s="67">
        <v>956</v>
      </c>
      <c r="H179" s="55">
        <v>8.788</v>
      </c>
      <c r="I179" s="68"/>
      <c r="J179" s="56"/>
      <c r="K179" s="68"/>
      <c r="L179" s="69"/>
      <c r="M179" s="71">
        <v>7.3</v>
      </c>
      <c r="N179" s="71">
        <v>2</v>
      </c>
      <c r="O179" s="60">
        <v>1912</v>
      </c>
      <c r="P179" s="59">
        <f>546+4122</f>
        <v>4668</v>
      </c>
      <c r="Q179" s="71"/>
      <c r="R179" s="71"/>
      <c r="S179" s="72"/>
      <c r="T179" s="62"/>
      <c r="U179" s="63"/>
      <c r="V179" s="64"/>
      <c r="W179" s="65"/>
      <c r="X179" s="63"/>
      <c r="Y179" s="65"/>
      <c r="Z179" s="65"/>
      <c r="CH179" s="46"/>
      <c r="CI179" s="46"/>
      <c r="CJ179" s="46"/>
      <c r="CK179" s="46"/>
      <c r="CL179" s="46"/>
      <c r="CM179" s="46"/>
      <c r="CN179" s="46"/>
      <c r="CO179" s="46"/>
    </row>
    <row r="180" spans="1:93" ht="45" customHeight="1">
      <c r="A180" s="30">
        <f t="shared" si="6"/>
        <v>111</v>
      </c>
      <c r="B180" s="71" t="s">
        <v>415</v>
      </c>
      <c r="C180" s="169" t="s">
        <v>59</v>
      </c>
      <c r="D180" s="52" t="s">
        <v>416</v>
      </c>
      <c r="E180" s="30" t="s">
        <v>329</v>
      </c>
      <c r="F180" s="22" t="s">
        <v>50</v>
      </c>
      <c r="G180" s="67">
        <v>415</v>
      </c>
      <c r="H180" s="55">
        <v>3.941</v>
      </c>
      <c r="I180" s="68"/>
      <c r="J180" s="56"/>
      <c r="K180" s="68"/>
      <c r="L180" s="69"/>
      <c r="M180" s="71">
        <v>8.7</v>
      </c>
      <c r="N180" s="71">
        <v>2</v>
      </c>
      <c r="O180" s="60">
        <v>830</v>
      </c>
      <c r="P180" s="59">
        <f>235+666</f>
        <v>901</v>
      </c>
      <c r="Q180" s="71"/>
      <c r="R180" s="71"/>
      <c r="S180" s="72"/>
      <c r="T180" s="62"/>
      <c r="U180" s="63"/>
      <c r="V180" s="64"/>
      <c r="W180" s="65"/>
      <c r="X180" s="63"/>
      <c r="Y180" s="65"/>
      <c r="Z180" s="65"/>
      <c r="CH180" s="46" t="s">
        <v>42</v>
      </c>
      <c r="CI180" s="169" t="s">
        <v>417</v>
      </c>
      <c r="CJ180" s="48" t="s">
        <v>43</v>
      </c>
      <c r="CK180" s="46" t="s">
        <v>176</v>
      </c>
      <c r="CL180" s="46" t="s">
        <v>44</v>
      </c>
      <c r="CM180" s="46" t="s">
        <v>45</v>
      </c>
      <c r="CN180" s="46" t="s">
        <v>45</v>
      </c>
      <c r="CO180" s="46" t="s">
        <v>42</v>
      </c>
    </row>
    <row r="181" spans="1:93" ht="27" customHeight="1">
      <c r="A181" s="30">
        <f t="shared" si="6"/>
        <v>112</v>
      </c>
      <c r="B181" s="71" t="s">
        <v>386</v>
      </c>
      <c r="C181" s="169" t="s">
        <v>387</v>
      </c>
      <c r="D181" s="52" t="s">
        <v>418</v>
      </c>
      <c r="E181" s="30" t="s">
        <v>329</v>
      </c>
      <c r="F181" s="22" t="s">
        <v>51</v>
      </c>
      <c r="G181" s="67">
        <v>813</v>
      </c>
      <c r="H181" s="55">
        <v>6.042</v>
      </c>
      <c r="I181" s="68"/>
      <c r="J181" s="57">
        <v>0.094</v>
      </c>
      <c r="K181" s="68"/>
      <c r="L181" s="69"/>
      <c r="M181" s="71">
        <v>6.1</v>
      </c>
      <c r="N181" s="71">
        <v>2</v>
      </c>
      <c r="O181" s="60">
        <v>1315</v>
      </c>
      <c r="P181" s="59">
        <f>937+378</f>
        <v>1315</v>
      </c>
      <c r="Q181" s="71">
        <v>0</v>
      </c>
      <c r="R181" s="71" t="s">
        <v>51</v>
      </c>
      <c r="S181" s="72"/>
      <c r="T181" s="62"/>
      <c r="U181" s="63"/>
      <c r="V181" s="64"/>
      <c r="W181" s="65"/>
      <c r="X181" s="63"/>
      <c r="Y181" s="65"/>
      <c r="Z181" s="65"/>
      <c r="CH181" s="46" t="s">
        <v>52</v>
      </c>
      <c r="CI181" s="46"/>
      <c r="CJ181" s="46"/>
      <c r="CK181" s="46"/>
      <c r="CL181" s="46"/>
      <c r="CM181" s="46"/>
      <c r="CN181" s="46"/>
      <c r="CO181" s="46"/>
    </row>
    <row r="182" spans="1:93" ht="27" customHeight="1">
      <c r="A182" s="30">
        <f t="shared" si="6"/>
        <v>113</v>
      </c>
      <c r="B182" s="71" t="s">
        <v>419</v>
      </c>
      <c r="C182" s="52" t="s">
        <v>250</v>
      </c>
      <c r="D182" s="169" t="s">
        <v>420</v>
      </c>
      <c r="E182" s="30" t="s">
        <v>329</v>
      </c>
      <c r="F182" s="22" t="s">
        <v>172</v>
      </c>
      <c r="G182" s="67">
        <v>117</v>
      </c>
      <c r="H182" s="55">
        <v>0.765</v>
      </c>
      <c r="I182" s="140"/>
      <c r="J182" s="56"/>
      <c r="K182" s="140"/>
      <c r="L182" s="69"/>
      <c r="M182" s="71">
        <v>7.1</v>
      </c>
      <c r="N182" s="71">
        <v>2</v>
      </c>
      <c r="O182" s="60">
        <v>234</v>
      </c>
      <c r="P182" s="59">
        <v>359</v>
      </c>
      <c r="Q182" s="71"/>
      <c r="R182" s="71"/>
      <c r="S182" s="72"/>
      <c r="T182" s="62"/>
      <c r="U182" s="63"/>
      <c r="V182" s="64"/>
      <c r="W182" s="65"/>
      <c r="X182" s="63"/>
      <c r="Y182" s="65"/>
      <c r="Z182" s="65"/>
      <c r="CH182" s="46" t="s">
        <v>52</v>
      </c>
      <c r="CI182" s="46"/>
      <c r="CJ182" s="46"/>
      <c r="CK182" s="46"/>
      <c r="CL182" s="46"/>
      <c r="CM182" s="46"/>
      <c r="CN182" s="46"/>
      <c r="CO182" s="46"/>
    </row>
    <row r="183" spans="1:93" ht="37.5" customHeight="1">
      <c r="A183" s="30">
        <f t="shared" si="6"/>
        <v>114</v>
      </c>
      <c r="B183" s="71" t="s">
        <v>421</v>
      </c>
      <c r="C183" s="417" t="s">
        <v>422</v>
      </c>
      <c r="D183" s="417"/>
      <c r="E183" s="30" t="s">
        <v>329</v>
      </c>
      <c r="F183" s="22" t="s">
        <v>50</v>
      </c>
      <c r="G183" s="67">
        <v>1160</v>
      </c>
      <c r="H183" s="55">
        <v>12.374</v>
      </c>
      <c r="I183" s="68"/>
      <c r="J183" s="56"/>
      <c r="K183" s="68"/>
      <c r="L183" s="69"/>
      <c r="M183" s="71">
        <v>10</v>
      </c>
      <c r="N183" s="71">
        <v>2</v>
      </c>
      <c r="O183" s="60">
        <v>2320</v>
      </c>
      <c r="P183" s="59">
        <f>1823+894</f>
        <v>2717</v>
      </c>
      <c r="Q183" s="71"/>
      <c r="R183" s="71"/>
      <c r="S183" s="72"/>
      <c r="T183" s="62"/>
      <c r="U183" s="63"/>
      <c r="V183" s="64"/>
      <c r="W183" s="65"/>
      <c r="X183" s="63"/>
      <c r="Y183" s="65"/>
      <c r="Z183" s="65"/>
      <c r="CH183" s="46" t="s">
        <v>52</v>
      </c>
      <c r="CI183" s="46"/>
      <c r="CJ183" s="46"/>
      <c r="CK183" s="46"/>
      <c r="CL183" s="46"/>
      <c r="CM183" s="46"/>
      <c r="CN183" s="46"/>
      <c r="CO183" s="46"/>
    </row>
    <row r="184" spans="1:93" ht="27" customHeight="1">
      <c r="A184" s="30">
        <f t="shared" si="6"/>
        <v>115</v>
      </c>
      <c r="B184" s="71" t="s">
        <v>423</v>
      </c>
      <c r="C184" s="190" t="s">
        <v>424</v>
      </c>
      <c r="D184" s="195" t="s">
        <v>303</v>
      </c>
      <c r="E184" s="30" t="s">
        <v>329</v>
      </c>
      <c r="F184" s="22" t="s">
        <v>50</v>
      </c>
      <c r="G184" s="67">
        <v>242</v>
      </c>
      <c r="H184" s="55">
        <v>2.2</v>
      </c>
      <c r="I184" s="68"/>
      <c r="J184" s="56">
        <v>0.413</v>
      </c>
      <c r="K184" s="68"/>
      <c r="L184" s="69"/>
      <c r="M184" s="71">
        <v>6.7</v>
      </c>
      <c r="N184" s="71">
        <v>2</v>
      </c>
      <c r="O184" s="60">
        <v>278</v>
      </c>
      <c r="P184" s="59">
        <f>17+261</f>
        <v>278</v>
      </c>
      <c r="Q184" s="71"/>
      <c r="R184" s="71"/>
      <c r="S184" s="72"/>
      <c r="T184" s="62"/>
      <c r="U184" s="63"/>
      <c r="V184" s="64"/>
      <c r="W184" s="65"/>
      <c r="X184" s="63"/>
      <c r="Y184" s="65"/>
      <c r="Z184" s="65"/>
      <c r="CH184" s="46" t="s">
        <v>42</v>
      </c>
      <c r="CI184" s="46" t="s">
        <v>425</v>
      </c>
      <c r="CJ184" s="48" t="s">
        <v>43</v>
      </c>
      <c r="CK184" s="46" t="s">
        <v>85</v>
      </c>
      <c r="CL184" s="46" t="s">
        <v>44</v>
      </c>
      <c r="CM184" s="47" t="s">
        <v>45</v>
      </c>
      <c r="CN184" s="47" t="s">
        <v>45</v>
      </c>
      <c r="CO184" s="46" t="s">
        <v>42</v>
      </c>
    </row>
    <row r="185" spans="1:93" ht="51" customHeight="1">
      <c r="A185" s="30">
        <f t="shared" si="6"/>
        <v>116</v>
      </c>
      <c r="B185" s="66" t="s">
        <v>426</v>
      </c>
      <c r="C185" s="52" t="s">
        <v>427</v>
      </c>
      <c r="D185" s="52" t="s">
        <v>428</v>
      </c>
      <c r="E185" s="127" t="s">
        <v>329</v>
      </c>
      <c r="F185" s="22" t="s">
        <v>51</v>
      </c>
      <c r="G185" s="67">
        <v>348</v>
      </c>
      <c r="H185" s="55">
        <v>2.676</v>
      </c>
      <c r="I185" s="68"/>
      <c r="J185" s="56"/>
      <c r="K185" s="68"/>
      <c r="L185" s="69"/>
      <c r="M185" s="71">
        <v>7.4</v>
      </c>
      <c r="N185" s="71">
        <v>2</v>
      </c>
      <c r="O185" s="60">
        <v>696</v>
      </c>
      <c r="P185" s="59">
        <f>251+484</f>
        <v>735</v>
      </c>
      <c r="Q185" s="71">
        <v>0</v>
      </c>
      <c r="R185" s="71"/>
      <c r="S185" s="72">
        <v>2.676</v>
      </c>
      <c r="T185" s="62"/>
      <c r="U185" s="63"/>
      <c r="V185" s="64"/>
      <c r="W185" s="65"/>
      <c r="X185" s="63"/>
      <c r="Y185" s="65"/>
      <c r="Z185" s="65"/>
      <c r="CH185" s="46" t="s">
        <v>52</v>
      </c>
      <c r="CI185" s="46"/>
      <c r="CJ185" s="46"/>
      <c r="CK185" s="46"/>
      <c r="CL185" s="46"/>
      <c r="CM185" s="46"/>
      <c r="CN185" s="46"/>
      <c r="CO185" s="46"/>
    </row>
    <row r="186" spans="1:93" ht="27" customHeight="1">
      <c r="A186" s="30">
        <f t="shared" si="6"/>
        <v>117</v>
      </c>
      <c r="B186" s="119" t="s">
        <v>429</v>
      </c>
      <c r="C186" s="187" t="s">
        <v>430</v>
      </c>
      <c r="D186" s="188" t="s">
        <v>431</v>
      </c>
      <c r="E186" s="30" t="s">
        <v>329</v>
      </c>
      <c r="F186" s="22" t="s">
        <v>172</v>
      </c>
      <c r="G186" s="67">
        <v>178</v>
      </c>
      <c r="H186" s="55">
        <v>1.373</v>
      </c>
      <c r="I186" s="72"/>
      <c r="J186" s="56">
        <v>0.112</v>
      </c>
      <c r="K186" s="72"/>
      <c r="L186" s="232"/>
      <c r="M186" s="70">
        <v>5.5</v>
      </c>
      <c r="N186" s="183">
        <v>2</v>
      </c>
      <c r="O186" s="60">
        <v>356</v>
      </c>
      <c r="P186" s="59">
        <f>60+544</f>
        <v>604</v>
      </c>
      <c r="Q186" s="183"/>
      <c r="R186" s="71"/>
      <c r="S186" s="72"/>
      <c r="T186" s="62"/>
      <c r="U186" s="63"/>
      <c r="V186" s="64"/>
      <c r="W186" s="65"/>
      <c r="X186" s="63"/>
      <c r="Y186" s="65"/>
      <c r="Z186" s="65"/>
      <c r="CH186" s="46" t="s">
        <v>52</v>
      </c>
      <c r="CI186" s="46"/>
      <c r="CJ186" s="46"/>
      <c r="CK186" s="46"/>
      <c r="CL186" s="46"/>
      <c r="CM186" s="46"/>
      <c r="CN186" s="46"/>
      <c r="CO186" s="46"/>
    </row>
    <row r="187" spans="1:93" ht="47.25">
      <c r="A187" s="408">
        <f t="shared" si="6"/>
        <v>118</v>
      </c>
      <c r="B187" s="417" t="s">
        <v>432</v>
      </c>
      <c r="C187" s="417" t="s">
        <v>81</v>
      </c>
      <c r="D187" s="417" t="s">
        <v>82</v>
      </c>
      <c r="E187" s="30" t="s">
        <v>329</v>
      </c>
      <c r="F187" s="22" t="s">
        <v>50</v>
      </c>
      <c r="G187" s="67">
        <v>749</v>
      </c>
      <c r="H187" s="55">
        <v>8.263</v>
      </c>
      <c r="I187" s="68"/>
      <c r="J187" s="56"/>
      <c r="K187" s="68"/>
      <c r="L187" s="69"/>
      <c r="M187" s="71">
        <v>10.9</v>
      </c>
      <c r="N187" s="71">
        <v>2</v>
      </c>
      <c r="O187" s="426">
        <v>1498</v>
      </c>
      <c r="P187" s="59">
        <f>269+1328</f>
        <v>1597</v>
      </c>
      <c r="Q187" s="423"/>
      <c r="R187" s="423"/>
      <c r="S187" s="423"/>
      <c r="T187" s="62"/>
      <c r="U187" s="63"/>
      <c r="V187" s="64"/>
      <c r="W187" s="65"/>
      <c r="X187" s="63"/>
      <c r="Y187" s="65"/>
      <c r="Z187" s="65"/>
      <c r="CH187" s="128" t="s">
        <v>62</v>
      </c>
      <c r="CI187" s="128" t="s">
        <v>191</v>
      </c>
      <c r="CJ187" s="48" t="s">
        <v>43</v>
      </c>
      <c r="CK187" s="130" t="s">
        <v>176</v>
      </c>
      <c r="CL187" s="130" t="s">
        <v>66</v>
      </c>
      <c r="CM187" s="130" t="s">
        <v>67</v>
      </c>
      <c r="CN187" s="129" t="s">
        <v>45</v>
      </c>
      <c r="CO187" s="129"/>
    </row>
    <row r="188" spans="1:93" ht="47.25">
      <c r="A188" s="408"/>
      <c r="B188" s="417"/>
      <c r="C188" s="417"/>
      <c r="D188" s="417"/>
      <c r="E188" s="30"/>
      <c r="F188" s="22"/>
      <c r="G188" s="67"/>
      <c r="H188" s="55"/>
      <c r="I188" s="68"/>
      <c r="J188" s="56"/>
      <c r="K188" s="68"/>
      <c r="L188" s="69"/>
      <c r="M188" s="71"/>
      <c r="N188" s="71"/>
      <c r="O188" s="426"/>
      <c r="P188" s="59"/>
      <c r="Q188" s="423"/>
      <c r="R188" s="423"/>
      <c r="S188" s="423"/>
      <c r="T188" s="62"/>
      <c r="U188" s="63"/>
      <c r="V188" s="64"/>
      <c r="W188" s="65"/>
      <c r="X188" s="63"/>
      <c r="Y188" s="65"/>
      <c r="Z188" s="65"/>
      <c r="CH188" s="149" t="s">
        <v>62</v>
      </c>
      <c r="CI188" s="233" t="s">
        <v>433</v>
      </c>
      <c r="CJ188" s="96" t="s">
        <v>71</v>
      </c>
      <c r="CK188" s="97" t="s">
        <v>176</v>
      </c>
      <c r="CL188" s="97" t="s">
        <v>66</v>
      </c>
      <c r="CM188" s="97" t="s">
        <v>67</v>
      </c>
      <c r="CN188" s="96" t="s">
        <v>45</v>
      </c>
      <c r="CO188" s="96"/>
    </row>
    <row r="189" spans="1:93" ht="47.25">
      <c r="A189" s="30">
        <f>A187+1</f>
        <v>119</v>
      </c>
      <c r="B189" s="71" t="s">
        <v>434</v>
      </c>
      <c r="C189" s="169" t="s">
        <v>180</v>
      </c>
      <c r="D189" s="52" t="s">
        <v>82</v>
      </c>
      <c r="E189" s="30" t="s">
        <v>329</v>
      </c>
      <c r="F189" s="22" t="s">
        <v>50</v>
      </c>
      <c r="G189" s="67">
        <v>217</v>
      </c>
      <c r="H189" s="55">
        <v>1.569</v>
      </c>
      <c r="I189" s="68"/>
      <c r="J189" s="56"/>
      <c r="K189" s="68"/>
      <c r="L189" s="69"/>
      <c r="M189" s="71">
        <v>9.3</v>
      </c>
      <c r="N189" s="71">
        <v>2</v>
      </c>
      <c r="O189" s="60">
        <v>434</v>
      </c>
      <c r="P189" s="59">
        <f>183+289</f>
        <v>472</v>
      </c>
      <c r="Q189" s="71"/>
      <c r="R189" s="71"/>
      <c r="S189" s="72"/>
      <c r="T189" s="62"/>
      <c r="U189" s="63"/>
      <c r="V189" s="64"/>
      <c r="W189" s="65"/>
      <c r="X189" s="63"/>
      <c r="Y189" s="65"/>
      <c r="Z189" s="65"/>
      <c r="CH189" s="95" t="s">
        <v>62</v>
      </c>
      <c r="CI189" s="95" t="s">
        <v>435</v>
      </c>
      <c r="CJ189" s="96" t="s">
        <v>71</v>
      </c>
      <c r="CK189" s="97" t="s">
        <v>176</v>
      </c>
      <c r="CL189" s="97" t="s">
        <v>66</v>
      </c>
      <c r="CM189" s="97" t="s">
        <v>67</v>
      </c>
      <c r="CN189" s="96" t="s">
        <v>45</v>
      </c>
      <c r="CO189" s="96"/>
    </row>
    <row r="190" spans="1:93" ht="27" customHeight="1">
      <c r="A190" s="30">
        <f aca="true" t="shared" si="7" ref="A190:A195">A189+1</f>
        <v>120</v>
      </c>
      <c r="B190" s="71" t="s">
        <v>436</v>
      </c>
      <c r="C190" s="169" t="s">
        <v>200</v>
      </c>
      <c r="D190" s="52" t="s">
        <v>437</v>
      </c>
      <c r="E190" s="30" t="s">
        <v>329</v>
      </c>
      <c r="F190" s="22" t="s">
        <v>50</v>
      </c>
      <c r="G190" s="67">
        <v>399</v>
      </c>
      <c r="H190" s="55">
        <v>4.877</v>
      </c>
      <c r="I190" s="68"/>
      <c r="J190" s="56">
        <v>0.293</v>
      </c>
      <c r="K190" s="68"/>
      <c r="L190" s="69"/>
      <c r="M190" s="71">
        <v>9.2</v>
      </c>
      <c r="N190" s="71">
        <v>2</v>
      </c>
      <c r="O190" s="60">
        <v>798</v>
      </c>
      <c r="P190" s="59">
        <f>682+360</f>
        <v>1042</v>
      </c>
      <c r="Q190" s="71"/>
      <c r="R190" s="71"/>
      <c r="S190" s="72"/>
      <c r="T190" s="62"/>
      <c r="U190" s="63"/>
      <c r="V190" s="64"/>
      <c r="W190" s="65"/>
      <c r="X190" s="63"/>
      <c r="Y190" s="65"/>
      <c r="Z190" s="65"/>
      <c r="CH190" s="46" t="s">
        <v>52</v>
      </c>
      <c r="CI190" s="46"/>
      <c r="CJ190" s="46"/>
      <c r="CK190" s="46"/>
      <c r="CL190" s="46"/>
      <c r="CM190" s="46"/>
      <c r="CN190" s="46"/>
      <c r="CO190" s="46"/>
    </row>
    <row r="191" spans="1:93" ht="27" customHeight="1">
      <c r="A191" s="30">
        <f t="shared" si="7"/>
        <v>121</v>
      </c>
      <c r="B191" s="119" t="s">
        <v>438</v>
      </c>
      <c r="C191" s="424" t="s">
        <v>439</v>
      </c>
      <c r="D191" s="424"/>
      <c r="E191" s="94" t="s">
        <v>329</v>
      </c>
      <c r="F191" s="98" t="s">
        <v>51</v>
      </c>
      <c r="G191" s="113">
        <v>47</v>
      </c>
      <c r="H191" s="114">
        <v>0.658</v>
      </c>
      <c r="I191" s="115"/>
      <c r="J191" s="116"/>
      <c r="K191" s="115"/>
      <c r="L191" s="117"/>
      <c r="M191" s="119">
        <v>14</v>
      </c>
      <c r="N191" s="119">
        <v>2</v>
      </c>
      <c r="O191" s="120">
        <v>94</v>
      </c>
      <c r="P191" s="121">
        <v>0</v>
      </c>
      <c r="Q191" s="119">
        <v>0</v>
      </c>
      <c r="R191" s="119"/>
      <c r="S191" s="122"/>
      <c r="T191" s="62"/>
      <c r="U191" s="63"/>
      <c r="V191" s="64"/>
      <c r="W191" s="65"/>
      <c r="X191" s="63"/>
      <c r="Y191" s="65"/>
      <c r="Z191" s="65"/>
      <c r="CH191" s="46" t="s">
        <v>52</v>
      </c>
      <c r="CI191" s="46"/>
      <c r="CJ191" s="46"/>
      <c r="CK191" s="46"/>
      <c r="CL191" s="46"/>
      <c r="CM191" s="46"/>
      <c r="CN191" s="46"/>
      <c r="CO191" s="46"/>
    </row>
    <row r="192" spans="1:93" ht="27" customHeight="1">
      <c r="A192" s="30">
        <f t="shared" si="7"/>
        <v>122</v>
      </c>
      <c r="B192" s="71" t="s">
        <v>440</v>
      </c>
      <c r="C192" s="169" t="s">
        <v>180</v>
      </c>
      <c r="D192" s="52" t="s">
        <v>82</v>
      </c>
      <c r="E192" s="30" t="s">
        <v>329</v>
      </c>
      <c r="F192" s="22" t="s">
        <v>50</v>
      </c>
      <c r="G192" s="67">
        <v>224</v>
      </c>
      <c r="H192" s="55">
        <v>1.618</v>
      </c>
      <c r="I192" s="68"/>
      <c r="J192" s="56"/>
      <c r="K192" s="68"/>
      <c r="L192" s="69"/>
      <c r="M192" s="71">
        <v>7.2</v>
      </c>
      <c r="N192" s="71">
        <v>2</v>
      </c>
      <c r="O192" s="60">
        <v>448</v>
      </c>
      <c r="P192" s="59">
        <f>46+464</f>
        <v>510</v>
      </c>
      <c r="Q192" s="71"/>
      <c r="R192" s="71"/>
      <c r="S192" s="72"/>
      <c r="T192" s="62"/>
      <c r="U192" s="63"/>
      <c r="V192" s="64"/>
      <c r="W192" s="65"/>
      <c r="X192" s="63"/>
      <c r="Y192" s="65"/>
      <c r="Z192" s="65"/>
      <c r="CH192" s="46" t="s">
        <v>42</v>
      </c>
      <c r="CI192" s="46" t="s">
        <v>294</v>
      </c>
      <c r="CJ192" s="48" t="s">
        <v>43</v>
      </c>
      <c r="CK192" s="46" t="s">
        <v>356</v>
      </c>
      <c r="CL192" s="46" t="s">
        <v>44</v>
      </c>
      <c r="CM192" s="47" t="s">
        <v>45</v>
      </c>
      <c r="CN192" s="47" t="s">
        <v>45</v>
      </c>
      <c r="CO192" s="46" t="s">
        <v>42</v>
      </c>
    </row>
    <row r="193" spans="1:93" ht="27" customHeight="1">
      <c r="A193" s="30">
        <f t="shared" si="7"/>
        <v>123</v>
      </c>
      <c r="B193" s="71" t="s">
        <v>441</v>
      </c>
      <c r="C193" s="169" t="s">
        <v>427</v>
      </c>
      <c r="D193" s="52" t="s">
        <v>442</v>
      </c>
      <c r="E193" s="30" t="s">
        <v>329</v>
      </c>
      <c r="F193" s="22" t="s">
        <v>50</v>
      </c>
      <c r="G193" s="67">
        <v>861</v>
      </c>
      <c r="H193" s="55">
        <v>8.693</v>
      </c>
      <c r="I193" s="68"/>
      <c r="J193" s="56"/>
      <c r="K193" s="68"/>
      <c r="L193" s="69"/>
      <c r="M193" s="71">
        <v>8.6</v>
      </c>
      <c r="N193" s="71">
        <v>2</v>
      </c>
      <c r="O193" s="60">
        <v>1658</v>
      </c>
      <c r="P193" s="59">
        <f>736+922</f>
        <v>1658</v>
      </c>
      <c r="Q193" s="71"/>
      <c r="R193" s="71" t="s">
        <v>51</v>
      </c>
      <c r="S193" s="72">
        <v>8.693</v>
      </c>
      <c r="T193" s="62"/>
      <c r="U193" s="63"/>
      <c r="V193" s="64"/>
      <c r="W193" s="65"/>
      <c r="X193" s="63"/>
      <c r="Y193" s="65"/>
      <c r="Z193" s="65"/>
      <c r="CH193" s="46"/>
      <c r="CI193" s="46"/>
      <c r="CJ193" s="46"/>
      <c r="CK193" s="46"/>
      <c r="CL193" s="46"/>
      <c r="CM193" s="46"/>
      <c r="CN193" s="46"/>
      <c r="CO193" s="46"/>
    </row>
    <row r="194" spans="1:93" ht="27" customHeight="1">
      <c r="A194" s="30">
        <f t="shared" si="7"/>
        <v>124</v>
      </c>
      <c r="B194" s="71" t="s">
        <v>443</v>
      </c>
      <c r="C194" s="169" t="s">
        <v>103</v>
      </c>
      <c r="D194" s="52" t="s">
        <v>347</v>
      </c>
      <c r="E194" s="30" t="s">
        <v>329</v>
      </c>
      <c r="F194" s="22" t="s">
        <v>50</v>
      </c>
      <c r="G194" s="67">
        <v>154</v>
      </c>
      <c r="H194" s="55">
        <v>1.403</v>
      </c>
      <c r="I194" s="68"/>
      <c r="J194" s="56"/>
      <c r="K194" s="68"/>
      <c r="L194" s="69"/>
      <c r="M194" s="71">
        <v>9.1</v>
      </c>
      <c r="N194" s="71">
        <v>2</v>
      </c>
      <c r="O194" s="60">
        <v>308</v>
      </c>
      <c r="P194" s="59">
        <f>310+403</f>
        <v>713</v>
      </c>
      <c r="Q194" s="71"/>
      <c r="R194" s="71"/>
      <c r="S194" s="72"/>
      <c r="T194" s="62"/>
      <c r="U194" s="63"/>
      <c r="V194" s="64"/>
      <c r="W194" s="65"/>
      <c r="X194" s="63"/>
      <c r="Y194" s="65"/>
      <c r="Z194" s="65"/>
      <c r="CH194" s="46" t="s">
        <v>52</v>
      </c>
      <c r="CI194" s="46"/>
      <c r="CJ194" s="46"/>
      <c r="CK194" s="46"/>
      <c r="CL194" s="46"/>
      <c r="CM194" s="46"/>
      <c r="CN194" s="46"/>
      <c r="CO194" s="46"/>
    </row>
    <row r="195" spans="1:93" ht="31.5">
      <c r="A195" s="408">
        <f t="shared" si="7"/>
        <v>125</v>
      </c>
      <c r="B195" s="417" t="s">
        <v>444</v>
      </c>
      <c r="C195" s="417" t="s">
        <v>184</v>
      </c>
      <c r="D195" s="417" t="s">
        <v>445</v>
      </c>
      <c r="E195" s="30" t="s">
        <v>329</v>
      </c>
      <c r="F195" s="22" t="s">
        <v>50</v>
      </c>
      <c r="G195" s="410">
        <v>379</v>
      </c>
      <c r="H195" s="418">
        <v>2.412</v>
      </c>
      <c r="I195" s="68"/>
      <c r="J195" s="56"/>
      <c r="K195" s="68"/>
      <c r="L195" s="69"/>
      <c r="M195" s="408">
        <v>7.4</v>
      </c>
      <c r="N195" s="408">
        <v>2</v>
      </c>
      <c r="O195" s="426">
        <v>747</v>
      </c>
      <c r="P195" s="59">
        <f>613+134</f>
        <v>747</v>
      </c>
      <c r="Q195" s="423"/>
      <c r="R195" s="423"/>
      <c r="S195" s="423"/>
      <c r="T195" s="62"/>
      <c r="U195" s="63"/>
      <c r="V195" s="64"/>
      <c r="W195" s="65"/>
      <c r="X195" s="63"/>
      <c r="Y195" s="65"/>
      <c r="Z195" s="65"/>
      <c r="CH195" s="95" t="s">
        <v>62</v>
      </c>
      <c r="CI195" s="186" t="s">
        <v>197</v>
      </c>
      <c r="CJ195" s="48" t="s">
        <v>43</v>
      </c>
      <c r="CK195" s="97" t="s">
        <v>72</v>
      </c>
      <c r="CL195" s="97" t="s">
        <v>66</v>
      </c>
      <c r="CM195" s="97" t="s">
        <v>67</v>
      </c>
      <c r="CN195" s="96" t="s">
        <v>45</v>
      </c>
      <c r="CO195" s="96"/>
    </row>
    <row r="196" spans="1:93" ht="31.5">
      <c r="A196" s="408"/>
      <c r="B196" s="417"/>
      <c r="C196" s="417"/>
      <c r="D196" s="417"/>
      <c r="E196" s="30"/>
      <c r="F196" s="22"/>
      <c r="G196" s="410"/>
      <c r="H196" s="418"/>
      <c r="I196" s="68"/>
      <c r="J196" s="56"/>
      <c r="K196" s="68"/>
      <c r="L196" s="69"/>
      <c r="M196" s="408"/>
      <c r="N196" s="408"/>
      <c r="O196" s="426"/>
      <c r="P196" s="59"/>
      <c r="Q196" s="423"/>
      <c r="R196" s="423"/>
      <c r="S196" s="423"/>
      <c r="T196" s="62"/>
      <c r="U196" s="63"/>
      <c r="V196" s="64"/>
      <c r="W196" s="65"/>
      <c r="X196" s="63"/>
      <c r="Y196" s="65"/>
      <c r="Z196" s="65"/>
      <c r="CH196" s="95" t="s">
        <v>87</v>
      </c>
      <c r="CI196" s="186" t="s">
        <v>197</v>
      </c>
      <c r="CJ196" s="96" t="s">
        <v>64</v>
      </c>
      <c r="CK196" s="97" t="s">
        <v>75</v>
      </c>
      <c r="CL196" s="97" t="s">
        <v>66</v>
      </c>
      <c r="CM196" s="97" t="s">
        <v>45</v>
      </c>
      <c r="CN196" s="96" t="s">
        <v>45</v>
      </c>
      <c r="CO196" s="96" t="s">
        <v>90</v>
      </c>
    </row>
    <row r="197" spans="1:93" ht="27" customHeight="1">
      <c r="A197" s="30">
        <f>A195+1</f>
        <v>126</v>
      </c>
      <c r="B197" s="71" t="s">
        <v>446</v>
      </c>
      <c r="C197" s="169" t="s">
        <v>144</v>
      </c>
      <c r="D197" s="52" t="s">
        <v>111</v>
      </c>
      <c r="E197" s="30" t="s">
        <v>329</v>
      </c>
      <c r="F197" s="22" t="s">
        <v>50</v>
      </c>
      <c r="G197" s="67">
        <v>158</v>
      </c>
      <c r="H197" s="55">
        <v>1.459</v>
      </c>
      <c r="I197" s="68"/>
      <c r="J197" s="56"/>
      <c r="K197" s="68"/>
      <c r="L197" s="69"/>
      <c r="M197" s="71">
        <v>10.5</v>
      </c>
      <c r="N197" s="71">
        <v>2</v>
      </c>
      <c r="O197" s="60">
        <v>316</v>
      </c>
      <c r="P197" s="59">
        <f>33+304</f>
        <v>337</v>
      </c>
      <c r="Q197" s="71"/>
      <c r="R197" s="71"/>
      <c r="S197" s="72"/>
      <c r="T197" s="62"/>
      <c r="U197" s="63"/>
      <c r="V197" s="64"/>
      <c r="W197" s="65"/>
      <c r="X197" s="63"/>
      <c r="Y197" s="65"/>
      <c r="Z197" s="65"/>
      <c r="CH197" s="46" t="s">
        <v>52</v>
      </c>
      <c r="CI197" s="46"/>
      <c r="CJ197" s="46"/>
      <c r="CK197" s="46"/>
      <c r="CL197" s="46"/>
      <c r="CM197" s="46"/>
      <c r="CN197" s="46"/>
      <c r="CO197" s="46"/>
    </row>
    <row r="198" spans="1:93" ht="27" customHeight="1">
      <c r="A198" s="30">
        <f aca="true" t="shared" si="8" ref="A198:A214">A197+1</f>
        <v>127</v>
      </c>
      <c r="B198" s="71" t="s">
        <v>447</v>
      </c>
      <c r="C198" s="424" t="s">
        <v>448</v>
      </c>
      <c r="D198" s="424"/>
      <c r="E198" s="30" t="s">
        <v>329</v>
      </c>
      <c r="F198" s="22" t="s">
        <v>172</v>
      </c>
      <c r="G198" s="67">
        <v>284</v>
      </c>
      <c r="H198" s="55">
        <v>0.924</v>
      </c>
      <c r="I198" s="140"/>
      <c r="J198" s="56"/>
      <c r="K198" s="140"/>
      <c r="L198" s="69"/>
      <c r="M198" s="67">
        <v>7.2</v>
      </c>
      <c r="N198" s="71">
        <v>2</v>
      </c>
      <c r="O198" s="60">
        <v>166</v>
      </c>
      <c r="P198" s="59">
        <f>122+44</f>
        <v>166</v>
      </c>
      <c r="Q198" s="71"/>
      <c r="R198" s="71"/>
      <c r="S198" s="72"/>
      <c r="T198" s="62"/>
      <c r="U198" s="63"/>
      <c r="V198" s="64"/>
      <c r="W198" s="65"/>
      <c r="X198" s="63"/>
      <c r="Y198" s="65"/>
      <c r="Z198" s="65"/>
      <c r="CH198" s="46" t="s">
        <v>52</v>
      </c>
      <c r="CI198" s="46"/>
      <c r="CJ198" s="46"/>
      <c r="CK198" s="46"/>
      <c r="CL198" s="46"/>
      <c r="CM198" s="46"/>
      <c r="CN198" s="46"/>
      <c r="CO198" s="46"/>
    </row>
    <row r="199" spans="1:93" ht="27" customHeight="1">
      <c r="A199" s="30">
        <f t="shared" si="8"/>
        <v>128</v>
      </c>
      <c r="B199" s="71" t="s">
        <v>449</v>
      </c>
      <c r="C199" s="169" t="s">
        <v>270</v>
      </c>
      <c r="D199" s="52" t="s">
        <v>450</v>
      </c>
      <c r="E199" s="30" t="s">
        <v>329</v>
      </c>
      <c r="F199" s="22" t="s">
        <v>172</v>
      </c>
      <c r="G199" s="67">
        <v>283</v>
      </c>
      <c r="H199" s="55">
        <v>3.012</v>
      </c>
      <c r="I199" s="140"/>
      <c r="J199" s="56"/>
      <c r="K199" s="140"/>
      <c r="L199" s="69"/>
      <c r="M199" s="71">
        <v>8</v>
      </c>
      <c r="N199" s="71">
        <v>2</v>
      </c>
      <c r="O199" s="60">
        <v>566</v>
      </c>
      <c r="P199" s="59">
        <f>188+1414</f>
        <v>1602</v>
      </c>
      <c r="Q199" s="71"/>
      <c r="R199" s="71"/>
      <c r="S199" s="72"/>
      <c r="T199" s="62"/>
      <c r="U199" s="63"/>
      <c r="V199" s="64"/>
      <c r="W199" s="65"/>
      <c r="X199" s="63"/>
      <c r="Y199" s="65"/>
      <c r="Z199" s="65"/>
      <c r="CH199" s="46" t="s">
        <v>52</v>
      </c>
      <c r="CI199" s="46"/>
      <c r="CJ199" s="46"/>
      <c r="CK199" s="46"/>
      <c r="CL199" s="46"/>
      <c r="CM199" s="46"/>
      <c r="CN199" s="46"/>
      <c r="CO199" s="46"/>
    </row>
    <row r="200" spans="1:93" ht="27" customHeight="1">
      <c r="A200" s="30">
        <f t="shared" si="8"/>
        <v>129</v>
      </c>
      <c r="B200" s="71" t="s">
        <v>451</v>
      </c>
      <c r="C200" s="169" t="s">
        <v>399</v>
      </c>
      <c r="D200" s="52" t="s">
        <v>405</v>
      </c>
      <c r="E200" s="30" t="s">
        <v>329</v>
      </c>
      <c r="F200" s="22" t="s">
        <v>51</v>
      </c>
      <c r="G200" s="67">
        <v>643</v>
      </c>
      <c r="H200" s="55">
        <v>7.543</v>
      </c>
      <c r="I200" s="68"/>
      <c r="J200" s="56">
        <v>0.968</v>
      </c>
      <c r="K200" s="68"/>
      <c r="L200" s="69"/>
      <c r="M200" s="71">
        <v>16</v>
      </c>
      <c r="N200" s="71">
        <v>2</v>
      </c>
      <c r="O200" s="60">
        <v>1286</v>
      </c>
      <c r="P200" s="59">
        <f>1201+515</f>
        <v>1716</v>
      </c>
      <c r="Q200" s="71"/>
      <c r="R200" s="71"/>
      <c r="S200" s="72"/>
      <c r="T200" s="62"/>
      <c r="U200" s="63"/>
      <c r="V200" s="64"/>
      <c r="W200" s="65"/>
      <c r="X200" s="63"/>
      <c r="Y200" s="65"/>
      <c r="Z200" s="65"/>
      <c r="CH200" s="46" t="s">
        <v>42</v>
      </c>
      <c r="CI200" s="46" t="s">
        <v>452</v>
      </c>
      <c r="CJ200" s="48" t="s">
        <v>43</v>
      </c>
      <c r="CK200" s="46" t="s">
        <v>453</v>
      </c>
      <c r="CL200" s="46" t="s">
        <v>44</v>
      </c>
      <c r="CM200" s="47" t="s">
        <v>45</v>
      </c>
      <c r="CN200" s="47" t="s">
        <v>45</v>
      </c>
      <c r="CO200" s="46" t="s">
        <v>42</v>
      </c>
    </row>
    <row r="201" spans="1:93" ht="27" customHeight="1">
      <c r="A201" s="30">
        <f t="shared" si="8"/>
        <v>130</v>
      </c>
      <c r="B201" s="71" t="s">
        <v>454</v>
      </c>
      <c r="C201" s="169" t="s">
        <v>455</v>
      </c>
      <c r="D201" s="52" t="s">
        <v>82</v>
      </c>
      <c r="E201" s="30" t="s">
        <v>329</v>
      </c>
      <c r="F201" s="22" t="s">
        <v>50</v>
      </c>
      <c r="G201" s="67">
        <v>390</v>
      </c>
      <c r="H201" s="55">
        <v>2.817</v>
      </c>
      <c r="I201" s="68"/>
      <c r="J201" s="56"/>
      <c r="K201" s="68"/>
      <c r="L201" s="69"/>
      <c r="M201" s="71">
        <v>7.2</v>
      </c>
      <c r="N201" s="71">
        <v>2</v>
      </c>
      <c r="O201" s="60">
        <v>780</v>
      </c>
      <c r="P201" s="59">
        <f>797+234</f>
        <v>1031</v>
      </c>
      <c r="Q201" s="71"/>
      <c r="R201" s="71"/>
      <c r="S201" s="72"/>
      <c r="T201" s="62"/>
      <c r="U201" s="63"/>
      <c r="V201" s="64"/>
      <c r="W201" s="65"/>
      <c r="X201" s="63"/>
      <c r="Y201" s="65"/>
      <c r="Z201" s="65"/>
      <c r="CH201" s="46" t="s">
        <v>42</v>
      </c>
      <c r="CI201" s="46" t="s">
        <v>456</v>
      </c>
      <c r="CJ201" s="48" t="s">
        <v>43</v>
      </c>
      <c r="CK201" s="46" t="s">
        <v>356</v>
      </c>
      <c r="CL201" s="46" t="s">
        <v>44</v>
      </c>
      <c r="CM201" s="47" t="s">
        <v>45</v>
      </c>
      <c r="CN201" s="47" t="s">
        <v>45</v>
      </c>
      <c r="CO201" s="46" t="s">
        <v>42</v>
      </c>
    </row>
    <row r="202" spans="1:93" ht="30.75" customHeight="1">
      <c r="A202" s="30">
        <f t="shared" si="8"/>
        <v>131</v>
      </c>
      <c r="B202" s="71" t="s">
        <v>457</v>
      </c>
      <c r="C202" s="169" t="s">
        <v>405</v>
      </c>
      <c r="D202" s="52" t="s">
        <v>458</v>
      </c>
      <c r="E202" s="30" t="s">
        <v>329</v>
      </c>
      <c r="F202" s="22" t="s">
        <v>172</v>
      </c>
      <c r="G202" s="67">
        <v>138</v>
      </c>
      <c r="H202" s="55">
        <v>0.966</v>
      </c>
      <c r="I202" s="140"/>
      <c r="J202" s="56"/>
      <c r="K202" s="140"/>
      <c r="L202" s="69"/>
      <c r="M202" s="71">
        <v>7.8</v>
      </c>
      <c r="N202" s="71">
        <v>2</v>
      </c>
      <c r="O202" s="60">
        <v>276</v>
      </c>
      <c r="P202" s="59">
        <f>257+22</f>
        <v>279</v>
      </c>
      <c r="Q202" s="71"/>
      <c r="R202" s="71"/>
      <c r="S202" s="72"/>
      <c r="T202" s="62"/>
      <c r="U202" s="63"/>
      <c r="V202" s="64"/>
      <c r="W202" s="65"/>
      <c r="X202" s="63"/>
      <c r="Y202" s="65"/>
      <c r="Z202" s="65"/>
      <c r="CH202" s="46" t="s">
        <v>459</v>
      </c>
      <c r="CI202" s="46" t="s">
        <v>460</v>
      </c>
      <c r="CJ202" s="48" t="s">
        <v>43</v>
      </c>
      <c r="CK202" s="46" t="s">
        <v>72</v>
      </c>
      <c r="CL202" s="46" t="s">
        <v>44</v>
      </c>
      <c r="CM202" s="46" t="s">
        <v>45</v>
      </c>
      <c r="CN202" s="46" t="s">
        <v>45</v>
      </c>
      <c r="CO202" s="46" t="s">
        <v>42</v>
      </c>
    </row>
    <row r="203" spans="1:93" ht="42.75" customHeight="1">
      <c r="A203" s="30">
        <f t="shared" si="8"/>
        <v>132</v>
      </c>
      <c r="B203" s="71" t="s">
        <v>461</v>
      </c>
      <c r="C203" s="169" t="s">
        <v>81</v>
      </c>
      <c r="D203" s="52" t="s">
        <v>462</v>
      </c>
      <c r="E203" s="30" t="s">
        <v>329</v>
      </c>
      <c r="F203" s="22" t="s">
        <v>50</v>
      </c>
      <c r="G203" s="67">
        <v>215</v>
      </c>
      <c r="H203" s="55">
        <v>2.797</v>
      </c>
      <c r="I203" s="68"/>
      <c r="J203" s="56"/>
      <c r="K203" s="68"/>
      <c r="L203" s="69"/>
      <c r="M203" s="71">
        <v>19</v>
      </c>
      <c r="N203" s="71">
        <v>2</v>
      </c>
      <c r="O203" s="60">
        <v>430</v>
      </c>
      <c r="P203" s="59">
        <f>577+76</f>
        <v>653</v>
      </c>
      <c r="Q203" s="71"/>
      <c r="R203" s="71"/>
      <c r="S203" s="72"/>
      <c r="T203" s="62"/>
      <c r="U203" s="63"/>
      <c r="V203" s="64"/>
      <c r="W203" s="65"/>
      <c r="X203" s="63"/>
      <c r="Y203" s="65"/>
      <c r="Z203" s="65"/>
      <c r="CH203" s="46" t="s">
        <v>52</v>
      </c>
      <c r="CI203" s="46"/>
      <c r="CJ203" s="46"/>
      <c r="CK203" s="46"/>
      <c r="CL203" s="46"/>
      <c r="CM203" s="46"/>
      <c r="CN203" s="46"/>
      <c r="CO203" s="46"/>
    </row>
    <row r="204" spans="1:93" ht="27" customHeight="1">
      <c r="A204" s="30">
        <f t="shared" si="8"/>
        <v>133</v>
      </c>
      <c r="B204" s="71" t="s">
        <v>463</v>
      </c>
      <c r="C204" s="169" t="s">
        <v>223</v>
      </c>
      <c r="D204" s="52" t="s">
        <v>409</v>
      </c>
      <c r="E204" s="30" t="s">
        <v>329</v>
      </c>
      <c r="F204" s="22" t="s">
        <v>172</v>
      </c>
      <c r="G204" s="234">
        <v>172</v>
      </c>
      <c r="H204" s="55">
        <v>1.661</v>
      </c>
      <c r="I204" s="72"/>
      <c r="J204" s="56"/>
      <c r="K204" s="72"/>
      <c r="L204" s="69"/>
      <c r="M204" s="67">
        <v>9.66</v>
      </c>
      <c r="N204" s="71">
        <v>2</v>
      </c>
      <c r="O204" s="60">
        <v>344</v>
      </c>
      <c r="P204" s="59">
        <f>38+416</f>
        <v>454</v>
      </c>
      <c r="Q204" s="71"/>
      <c r="R204" s="71"/>
      <c r="S204" s="72"/>
      <c r="T204" s="62"/>
      <c r="U204" s="63"/>
      <c r="V204" s="64"/>
      <c r="W204" s="65"/>
      <c r="X204" s="63"/>
      <c r="Y204" s="65"/>
      <c r="Z204" s="65"/>
      <c r="CH204" s="46" t="s">
        <v>52</v>
      </c>
      <c r="CI204" s="46"/>
      <c r="CJ204" s="46"/>
      <c r="CK204" s="46"/>
      <c r="CL204" s="46"/>
      <c r="CM204" s="46"/>
      <c r="CN204" s="46"/>
      <c r="CO204" s="46"/>
    </row>
    <row r="205" spans="1:93" ht="27" customHeight="1">
      <c r="A205" s="30">
        <f t="shared" si="8"/>
        <v>134</v>
      </c>
      <c r="B205" s="71" t="s">
        <v>464</v>
      </c>
      <c r="C205" s="169" t="s">
        <v>465</v>
      </c>
      <c r="D205" s="52" t="s">
        <v>82</v>
      </c>
      <c r="E205" s="30" t="s">
        <v>329</v>
      </c>
      <c r="F205" s="22" t="s">
        <v>50</v>
      </c>
      <c r="G205" s="67">
        <v>545</v>
      </c>
      <c r="H205" s="55">
        <v>4.838</v>
      </c>
      <c r="I205" s="68"/>
      <c r="J205" s="56">
        <v>0.084</v>
      </c>
      <c r="K205" s="68"/>
      <c r="L205" s="69"/>
      <c r="M205" s="71">
        <v>8.9</v>
      </c>
      <c r="N205" s="71">
        <v>2</v>
      </c>
      <c r="O205" s="60">
        <v>1090</v>
      </c>
      <c r="P205" s="59">
        <f>260+1016</f>
        <v>1276</v>
      </c>
      <c r="Q205" s="71"/>
      <c r="R205" s="71"/>
      <c r="S205" s="72"/>
      <c r="T205" s="62"/>
      <c r="U205" s="63"/>
      <c r="V205" s="64"/>
      <c r="W205" s="65"/>
      <c r="X205" s="63"/>
      <c r="Y205" s="65"/>
      <c r="Z205" s="65"/>
      <c r="CH205" s="46" t="s">
        <v>42</v>
      </c>
      <c r="CI205" s="46" t="s">
        <v>466</v>
      </c>
      <c r="CJ205" s="48" t="s">
        <v>43</v>
      </c>
      <c r="CK205" s="46" t="s">
        <v>286</v>
      </c>
      <c r="CL205" s="46" t="s">
        <v>44</v>
      </c>
      <c r="CM205" s="47" t="s">
        <v>45</v>
      </c>
      <c r="CN205" s="47" t="s">
        <v>45</v>
      </c>
      <c r="CO205" s="46" t="s">
        <v>42</v>
      </c>
    </row>
    <row r="206" spans="1:93" ht="39" customHeight="1">
      <c r="A206" s="30">
        <f t="shared" si="8"/>
        <v>135</v>
      </c>
      <c r="B206" s="71" t="s">
        <v>467</v>
      </c>
      <c r="C206" s="169" t="s">
        <v>468</v>
      </c>
      <c r="D206" s="52" t="s">
        <v>469</v>
      </c>
      <c r="E206" s="30" t="s">
        <v>329</v>
      </c>
      <c r="F206" s="22" t="s">
        <v>172</v>
      </c>
      <c r="G206" s="67">
        <v>274</v>
      </c>
      <c r="H206" s="55">
        <v>1.205</v>
      </c>
      <c r="I206" s="140"/>
      <c r="J206" s="56"/>
      <c r="K206" s="72">
        <v>0.703</v>
      </c>
      <c r="L206" s="69"/>
      <c r="M206" s="67">
        <v>4.34</v>
      </c>
      <c r="N206" s="71"/>
      <c r="O206" s="60">
        <v>0</v>
      </c>
      <c r="P206" s="59"/>
      <c r="Q206" s="71"/>
      <c r="R206" s="71"/>
      <c r="S206" s="72"/>
      <c r="T206" s="62"/>
      <c r="U206" s="63"/>
      <c r="V206" s="64"/>
      <c r="W206" s="65"/>
      <c r="X206" s="63"/>
      <c r="Y206" s="65"/>
      <c r="Z206" s="65"/>
      <c r="CH206" s="46" t="s">
        <v>52</v>
      </c>
      <c r="CI206" s="46"/>
      <c r="CJ206" s="46"/>
      <c r="CK206" s="46"/>
      <c r="CL206" s="46"/>
      <c r="CM206" s="46"/>
      <c r="CN206" s="46"/>
      <c r="CO206" s="46"/>
    </row>
    <row r="207" spans="1:93" ht="27" customHeight="1">
      <c r="A207" s="30">
        <f t="shared" si="8"/>
        <v>136</v>
      </c>
      <c r="B207" s="71" t="s">
        <v>470</v>
      </c>
      <c r="C207" s="169" t="s">
        <v>373</v>
      </c>
      <c r="D207" s="52" t="s">
        <v>471</v>
      </c>
      <c r="E207" s="30" t="s">
        <v>329</v>
      </c>
      <c r="F207" s="22" t="s">
        <v>50</v>
      </c>
      <c r="G207" s="67">
        <v>170</v>
      </c>
      <c r="H207" s="55">
        <v>1.138</v>
      </c>
      <c r="I207" s="68"/>
      <c r="J207" s="56"/>
      <c r="K207" s="68"/>
      <c r="L207" s="69"/>
      <c r="M207" s="71">
        <v>6.7</v>
      </c>
      <c r="N207" s="71">
        <v>0</v>
      </c>
      <c r="O207" s="60">
        <v>0</v>
      </c>
      <c r="P207" s="59">
        <v>0</v>
      </c>
      <c r="Q207" s="71"/>
      <c r="R207" s="71"/>
      <c r="S207" s="72"/>
      <c r="T207" s="62"/>
      <c r="U207" s="63"/>
      <c r="V207" s="64"/>
      <c r="W207" s="65"/>
      <c r="X207" s="63"/>
      <c r="Y207" s="65"/>
      <c r="Z207" s="65"/>
      <c r="CH207" s="46" t="s">
        <v>52</v>
      </c>
      <c r="CI207" s="46"/>
      <c r="CJ207" s="46"/>
      <c r="CK207" s="46"/>
      <c r="CL207" s="46"/>
      <c r="CM207" s="46"/>
      <c r="CN207" s="46"/>
      <c r="CO207" s="46"/>
    </row>
    <row r="208" spans="1:93" ht="39" customHeight="1">
      <c r="A208" s="30">
        <f t="shared" si="8"/>
        <v>137</v>
      </c>
      <c r="B208" s="71" t="s">
        <v>472</v>
      </c>
      <c r="C208" s="169" t="s">
        <v>120</v>
      </c>
      <c r="D208" s="52" t="s">
        <v>147</v>
      </c>
      <c r="E208" s="30" t="s">
        <v>329</v>
      </c>
      <c r="F208" s="22" t="s">
        <v>50</v>
      </c>
      <c r="G208" s="67">
        <v>170</v>
      </c>
      <c r="H208" s="55">
        <v>1.615</v>
      </c>
      <c r="I208" s="68"/>
      <c r="J208" s="56"/>
      <c r="K208" s="68"/>
      <c r="L208" s="69"/>
      <c r="M208" s="71">
        <v>10.3</v>
      </c>
      <c r="N208" s="71">
        <v>4</v>
      </c>
      <c r="O208" s="60">
        <v>532</v>
      </c>
      <c r="P208" s="59">
        <f>342+190</f>
        <v>532</v>
      </c>
      <c r="Q208" s="71"/>
      <c r="R208" s="71"/>
      <c r="S208" s="72"/>
      <c r="T208" s="62"/>
      <c r="U208" s="63"/>
      <c r="V208" s="64"/>
      <c r="W208" s="65"/>
      <c r="X208" s="63"/>
      <c r="Y208" s="65"/>
      <c r="Z208" s="65"/>
      <c r="CH208" s="46" t="s">
        <v>42</v>
      </c>
      <c r="CI208" s="169" t="s">
        <v>473</v>
      </c>
      <c r="CJ208" s="48" t="s">
        <v>43</v>
      </c>
      <c r="CK208" s="97" t="s">
        <v>85</v>
      </c>
      <c r="CL208" s="46" t="s">
        <v>44</v>
      </c>
      <c r="CM208" s="46" t="s">
        <v>45</v>
      </c>
      <c r="CN208" s="46" t="s">
        <v>45</v>
      </c>
      <c r="CO208" s="46" t="s">
        <v>42</v>
      </c>
    </row>
    <row r="209" spans="1:93" ht="27" customHeight="1">
      <c r="A209" s="30">
        <f t="shared" si="8"/>
        <v>138</v>
      </c>
      <c r="B209" s="71" t="s">
        <v>474</v>
      </c>
      <c r="C209" s="169" t="s">
        <v>139</v>
      </c>
      <c r="D209" s="52" t="s">
        <v>405</v>
      </c>
      <c r="E209" s="30" t="s">
        <v>329</v>
      </c>
      <c r="F209" s="22" t="s">
        <v>50</v>
      </c>
      <c r="G209" s="67">
        <v>367</v>
      </c>
      <c r="H209" s="55">
        <v>5.612</v>
      </c>
      <c r="I209" s="68"/>
      <c r="J209" s="56"/>
      <c r="K209" s="68"/>
      <c r="L209" s="69"/>
      <c r="M209" s="71">
        <v>14.4</v>
      </c>
      <c r="N209" s="71">
        <v>2</v>
      </c>
      <c r="O209" s="60">
        <v>734</v>
      </c>
      <c r="P209" s="59">
        <f>689+362</f>
        <v>1051</v>
      </c>
      <c r="Q209" s="71"/>
      <c r="R209" s="71" t="s">
        <v>51</v>
      </c>
      <c r="S209" s="72"/>
      <c r="T209" s="62"/>
      <c r="U209" s="63"/>
      <c r="V209" s="64"/>
      <c r="W209" s="65"/>
      <c r="X209" s="63"/>
      <c r="Y209" s="65"/>
      <c r="Z209" s="65"/>
      <c r="CH209" s="46" t="s">
        <v>42</v>
      </c>
      <c r="CI209" s="46" t="s">
        <v>475</v>
      </c>
      <c r="CJ209" s="48" t="s">
        <v>43</v>
      </c>
      <c r="CK209" s="46" t="s">
        <v>295</v>
      </c>
      <c r="CL209" s="46" t="s">
        <v>44</v>
      </c>
      <c r="CM209" s="47" t="s">
        <v>45</v>
      </c>
      <c r="CN209" s="47" t="s">
        <v>45</v>
      </c>
      <c r="CO209" s="46" t="s">
        <v>42</v>
      </c>
    </row>
    <row r="210" spans="1:93" ht="49.5" customHeight="1">
      <c r="A210" s="30">
        <f t="shared" si="8"/>
        <v>139</v>
      </c>
      <c r="B210" s="71" t="s">
        <v>476</v>
      </c>
      <c r="C210" s="169" t="s">
        <v>159</v>
      </c>
      <c r="D210" s="52" t="s">
        <v>477</v>
      </c>
      <c r="E210" s="30" t="s">
        <v>329</v>
      </c>
      <c r="F210" s="22" t="s">
        <v>172</v>
      </c>
      <c r="G210" s="67">
        <v>86</v>
      </c>
      <c r="H210" s="55">
        <v>0.681</v>
      </c>
      <c r="I210" s="140"/>
      <c r="J210" s="56">
        <v>0.123</v>
      </c>
      <c r="K210" s="140"/>
      <c r="L210" s="69"/>
      <c r="M210" s="71">
        <v>6.5</v>
      </c>
      <c r="N210" s="71">
        <v>2</v>
      </c>
      <c r="O210" s="60">
        <v>173</v>
      </c>
      <c r="P210" s="59">
        <f>5+168</f>
        <v>173</v>
      </c>
      <c r="Q210" s="71"/>
      <c r="R210" s="71"/>
      <c r="S210" s="72"/>
      <c r="T210" s="62"/>
      <c r="U210" s="63"/>
      <c r="V210" s="64"/>
      <c r="W210" s="65"/>
      <c r="X210" s="63"/>
      <c r="Y210" s="65"/>
      <c r="Z210" s="65"/>
      <c r="CH210" s="46" t="s">
        <v>42</v>
      </c>
      <c r="CI210" s="169" t="s">
        <v>478</v>
      </c>
      <c r="CJ210" s="48" t="s">
        <v>43</v>
      </c>
      <c r="CK210" s="46" t="s">
        <v>65</v>
      </c>
      <c r="CL210" s="46" t="s">
        <v>44</v>
      </c>
      <c r="CM210" s="46" t="s">
        <v>45</v>
      </c>
      <c r="CN210" s="46" t="s">
        <v>45</v>
      </c>
      <c r="CO210" s="46" t="s">
        <v>42</v>
      </c>
    </row>
    <row r="211" spans="1:93" ht="27" customHeight="1">
      <c r="A211" s="30">
        <f t="shared" si="8"/>
        <v>140</v>
      </c>
      <c r="B211" s="71" t="s">
        <v>479</v>
      </c>
      <c r="C211" s="52" t="s">
        <v>180</v>
      </c>
      <c r="D211" s="52" t="s">
        <v>480</v>
      </c>
      <c r="E211" s="30" t="s">
        <v>329</v>
      </c>
      <c r="F211" s="22" t="s">
        <v>172</v>
      </c>
      <c r="G211" s="67">
        <v>213</v>
      </c>
      <c r="H211" s="55">
        <v>1.796</v>
      </c>
      <c r="I211" s="140"/>
      <c r="J211" s="56"/>
      <c r="K211" s="140"/>
      <c r="L211" s="69"/>
      <c r="M211" s="71">
        <v>8.3</v>
      </c>
      <c r="N211" s="71">
        <v>2</v>
      </c>
      <c r="O211" s="60">
        <v>421</v>
      </c>
      <c r="P211" s="59">
        <f>40+381</f>
        <v>421</v>
      </c>
      <c r="Q211" s="71"/>
      <c r="R211" s="71"/>
      <c r="S211" s="72"/>
      <c r="T211" s="62"/>
      <c r="U211" s="63"/>
      <c r="V211" s="64"/>
      <c r="W211" s="65"/>
      <c r="X211" s="63"/>
      <c r="Y211" s="65"/>
      <c r="Z211" s="65"/>
      <c r="CH211" s="46" t="s">
        <v>42</v>
      </c>
      <c r="CI211" s="46" t="s">
        <v>481</v>
      </c>
      <c r="CJ211" s="48" t="s">
        <v>43</v>
      </c>
      <c r="CK211" s="46" t="s">
        <v>482</v>
      </c>
      <c r="CL211" s="46" t="s">
        <v>44</v>
      </c>
      <c r="CM211" s="47" t="s">
        <v>45</v>
      </c>
      <c r="CN211" s="47" t="s">
        <v>45</v>
      </c>
      <c r="CO211" s="46" t="s">
        <v>42</v>
      </c>
    </row>
    <row r="212" spans="1:93" ht="27" customHeight="1">
      <c r="A212" s="30">
        <f t="shared" si="8"/>
        <v>141</v>
      </c>
      <c r="B212" s="71" t="s">
        <v>483</v>
      </c>
      <c r="C212" s="169" t="s">
        <v>47</v>
      </c>
      <c r="D212" s="52" t="s">
        <v>350</v>
      </c>
      <c r="E212" s="30" t="s">
        <v>329</v>
      </c>
      <c r="F212" s="22" t="s">
        <v>50</v>
      </c>
      <c r="G212" s="67">
        <v>401</v>
      </c>
      <c r="H212" s="55">
        <v>2.896</v>
      </c>
      <c r="I212" s="68"/>
      <c r="J212" s="56"/>
      <c r="K212" s="68"/>
      <c r="L212" s="69"/>
      <c r="M212" s="71">
        <v>7.2</v>
      </c>
      <c r="N212" s="71">
        <v>2</v>
      </c>
      <c r="O212" s="60">
        <v>784</v>
      </c>
      <c r="P212" s="59">
        <f>112+672</f>
        <v>784</v>
      </c>
      <c r="Q212" s="71"/>
      <c r="R212" s="71"/>
      <c r="S212" s="72"/>
      <c r="T212" s="62"/>
      <c r="U212" s="63"/>
      <c r="V212" s="64"/>
      <c r="W212" s="65"/>
      <c r="X212" s="63"/>
      <c r="Y212" s="65"/>
      <c r="Z212" s="65"/>
      <c r="CH212" s="46" t="s">
        <v>42</v>
      </c>
      <c r="CI212" s="46" t="s">
        <v>484</v>
      </c>
      <c r="CJ212" s="48" t="s">
        <v>43</v>
      </c>
      <c r="CK212" s="46" t="s">
        <v>300</v>
      </c>
      <c r="CL212" s="46" t="s">
        <v>44</v>
      </c>
      <c r="CM212" s="47" t="s">
        <v>45</v>
      </c>
      <c r="CN212" s="47" t="s">
        <v>45</v>
      </c>
      <c r="CO212" s="46" t="s">
        <v>42</v>
      </c>
    </row>
    <row r="213" spans="1:93" ht="60" customHeight="1">
      <c r="A213" s="30">
        <f t="shared" si="8"/>
        <v>142</v>
      </c>
      <c r="B213" s="71" t="s">
        <v>485</v>
      </c>
      <c r="C213" s="169" t="s">
        <v>227</v>
      </c>
      <c r="D213" s="52" t="s">
        <v>486</v>
      </c>
      <c r="E213" s="30" t="s">
        <v>329</v>
      </c>
      <c r="F213" s="22" t="s">
        <v>50</v>
      </c>
      <c r="G213" s="67">
        <v>386</v>
      </c>
      <c r="H213" s="55">
        <v>3.908</v>
      </c>
      <c r="I213" s="68"/>
      <c r="J213" s="56"/>
      <c r="K213" s="68"/>
      <c r="L213" s="69"/>
      <c r="M213" s="71">
        <v>8.3</v>
      </c>
      <c r="N213" s="71">
        <v>2</v>
      </c>
      <c r="O213" s="60">
        <v>772</v>
      </c>
      <c r="P213" s="59">
        <f>269+713</f>
        <v>982</v>
      </c>
      <c r="Q213" s="71"/>
      <c r="R213" s="71"/>
      <c r="S213" s="72"/>
      <c r="T213" s="62"/>
      <c r="U213" s="63"/>
      <c r="V213" s="64"/>
      <c r="W213" s="65"/>
      <c r="X213" s="63"/>
      <c r="Y213" s="65"/>
      <c r="Z213" s="65"/>
      <c r="CH213" s="46" t="s">
        <v>42</v>
      </c>
      <c r="CI213" s="169" t="s">
        <v>487</v>
      </c>
      <c r="CJ213" s="48" t="s">
        <v>43</v>
      </c>
      <c r="CK213" s="46" t="s">
        <v>130</v>
      </c>
      <c r="CL213" s="46" t="s">
        <v>44</v>
      </c>
      <c r="CM213" s="46" t="s">
        <v>45</v>
      </c>
      <c r="CN213" s="46" t="s">
        <v>45</v>
      </c>
      <c r="CO213" s="46" t="s">
        <v>42</v>
      </c>
    </row>
    <row r="214" spans="1:93" ht="54.75" customHeight="1">
      <c r="A214" s="408">
        <f t="shared" si="8"/>
        <v>143</v>
      </c>
      <c r="B214" s="417" t="s">
        <v>488</v>
      </c>
      <c r="C214" s="408" t="s">
        <v>489</v>
      </c>
      <c r="D214" s="417" t="s">
        <v>144</v>
      </c>
      <c r="E214" s="408" t="s">
        <v>329</v>
      </c>
      <c r="F214" s="22" t="s">
        <v>50</v>
      </c>
      <c r="G214" s="410">
        <v>772</v>
      </c>
      <c r="H214" s="418">
        <v>11.704</v>
      </c>
      <c r="I214" s="68"/>
      <c r="J214" s="56">
        <v>0.192</v>
      </c>
      <c r="K214" s="68"/>
      <c r="L214" s="69"/>
      <c r="M214" s="408">
        <v>7.6</v>
      </c>
      <c r="N214" s="408">
        <v>2</v>
      </c>
      <c r="O214" s="426">
        <v>1544</v>
      </c>
      <c r="P214" s="59">
        <f>1698</f>
        <v>1698</v>
      </c>
      <c r="Q214" s="71"/>
      <c r="R214" s="71"/>
      <c r="S214" s="72"/>
      <c r="T214" s="62"/>
      <c r="U214" s="63"/>
      <c r="V214" s="64"/>
      <c r="W214" s="65"/>
      <c r="X214" s="63"/>
      <c r="Y214" s="65"/>
      <c r="Z214" s="65"/>
      <c r="CH214" s="95" t="s">
        <v>62</v>
      </c>
      <c r="CI214" s="95" t="s">
        <v>490</v>
      </c>
      <c r="CJ214" s="96" t="s">
        <v>71</v>
      </c>
      <c r="CK214" s="97" t="s">
        <v>130</v>
      </c>
      <c r="CL214" s="97" t="s">
        <v>66</v>
      </c>
      <c r="CM214" s="97" t="s">
        <v>67</v>
      </c>
      <c r="CN214" s="96" t="s">
        <v>45</v>
      </c>
      <c r="CO214" s="96"/>
    </row>
    <row r="215" spans="1:93" ht="54.75" customHeight="1">
      <c r="A215" s="408"/>
      <c r="B215" s="417"/>
      <c r="C215" s="408"/>
      <c r="D215" s="417"/>
      <c r="E215" s="408"/>
      <c r="F215" s="22"/>
      <c r="G215" s="410"/>
      <c r="H215" s="418"/>
      <c r="I215" s="68"/>
      <c r="J215" s="56"/>
      <c r="K215" s="68"/>
      <c r="L215" s="69"/>
      <c r="M215" s="408"/>
      <c r="N215" s="408"/>
      <c r="O215" s="426"/>
      <c r="P215" s="59"/>
      <c r="Q215" s="71"/>
      <c r="R215" s="71"/>
      <c r="S215" s="72"/>
      <c r="T215" s="62"/>
      <c r="U215" s="63"/>
      <c r="V215" s="64"/>
      <c r="W215" s="65"/>
      <c r="X215" s="63"/>
      <c r="Y215" s="65"/>
      <c r="Z215" s="65"/>
      <c r="CH215" s="95" t="s">
        <v>62</v>
      </c>
      <c r="CI215" s="95" t="s">
        <v>491</v>
      </c>
      <c r="CJ215" s="96" t="s">
        <v>64</v>
      </c>
      <c r="CK215" s="97" t="s">
        <v>65</v>
      </c>
      <c r="CL215" s="97" t="s">
        <v>66</v>
      </c>
      <c r="CM215" s="97" t="s">
        <v>67</v>
      </c>
      <c r="CN215" s="96" t="s">
        <v>45</v>
      </c>
      <c r="CO215" s="96"/>
    </row>
    <row r="216" spans="1:93" ht="47.25" customHeight="1">
      <c r="A216" s="30">
        <f>A214+1</f>
        <v>144</v>
      </c>
      <c r="B216" s="71" t="s">
        <v>492</v>
      </c>
      <c r="C216" s="169" t="s">
        <v>493</v>
      </c>
      <c r="D216" s="52" t="s">
        <v>236</v>
      </c>
      <c r="E216" s="30" t="s">
        <v>329</v>
      </c>
      <c r="F216" s="22" t="s">
        <v>50</v>
      </c>
      <c r="G216" s="67">
        <v>537</v>
      </c>
      <c r="H216" s="55">
        <v>5.331</v>
      </c>
      <c r="I216" s="68"/>
      <c r="J216" s="56"/>
      <c r="K216" s="68"/>
      <c r="L216" s="69"/>
      <c r="M216" s="71">
        <v>9.4</v>
      </c>
      <c r="N216" s="71">
        <v>2</v>
      </c>
      <c r="O216" s="60">
        <v>1074</v>
      </c>
      <c r="P216" s="59">
        <f>1256+136</f>
        <v>1392</v>
      </c>
      <c r="Q216" s="71"/>
      <c r="R216" s="71"/>
      <c r="S216" s="72"/>
      <c r="T216" s="62"/>
      <c r="U216" s="63"/>
      <c r="V216" s="64"/>
      <c r="W216" s="65"/>
      <c r="X216" s="63"/>
      <c r="Y216" s="65"/>
      <c r="Z216" s="65"/>
      <c r="CH216" s="46" t="s">
        <v>42</v>
      </c>
      <c r="CI216" s="169" t="s">
        <v>494</v>
      </c>
      <c r="CJ216" s="48" t="s">
        <v>43</v>
      </c>
      <c r="CK216" s="46" t="s">
        <v>130</v>
      </c>
      <c r="CL216" s="46" t="s">
        <v>44</v>
      </c>
      <c r="CM216" s="46" t="s">
        <v>45</v>
      </c>
      <c r="CN216" s="46" t="s">
        <v>45</v>
      </c>
      <c r="CO216" s="46" t="s">
        <v>42</v>
      </c>
    </row>
    <row r="217" spans="1:93" ht="27" customHeight="1">
      <c r="A217" s="30">
        <f aca="true" t="shared" si="9" ref="A217:A229">A216+1</f>
        <v>145</v>
      </c>
      <c r="B217" s="71" t="s">
        <v>495</v>
      </c>
      <c r="C217" s="169" t="s">
        <v>180</v>
      </c>
      <c r="D217" s="52" t="s">
        <v>496</v>
      </c>
      <c r="E217" s="30" t="s">
        <v>329</v>
      </c>
      <c r="F217" s="22" t="s">
        <v>172</v>
      </c>
      <c r="G217" s="67">
        <v>380</v>
      </c>
      <c r="H217" s="55">
        <v>2.754</v>
      </c>
      <c r="I217" s="140"/>
      <c r="J217" s="56"/>
      <c r="K217" s="140"/>
      <c r="L217" s="69"/>
      <c r="M217" s="71">
        <v>7.8</v>
      </c>
      <c r="N217" s="71">
        <v>2</v>
      </c>
      <c r="O217" s="60">
        <v>741</v>
      </c>
      <c r="P217" s="59">
        <f>61+680</f>
        <v>741</v>
      </c>
      <c r="Q217" s="71"/>
      <c r="R217" s="71"/>
      <c r="S217" s="72"/>
      <c r="T217" s="62"/>
      <c r="U217" s="63"/>
      <c r="V217" s="64"/>
      <c r="W217" s="65"/>
      <c r="X217" s="63"/>
      <c r="Y217" s="65"/>
      <c r="Z217" s="65"/>
      <c r="CH217" s="46" t="s">
        <v>42</v>
      </c>
      <c r="CI217" s="46" t="s">
        <v>497</v>
      </c>
      <c r="CJ217" s="48" t="s">
        <v>43</v>
      </c>
      <c r="CK217" s="46" t="s">
        <v>402</v>
      </c>
      <c r="CL217" s="46" t="s">
        <v>44</v>
      </c>
      <c r="CM217" s="47" t="s">
        <v>45</v>
      </c>
      <c r="CN217" s="47" t="s">
        <v>45</v>
      </c>
      <c r="CO217" s="46" t="s">
        <v>42</v>
      </c>
    </row>
    <row r="218" spans="1:93" ht="40.5" customHeight="1">
      <c r="A218" s="30">
        <f t="shared" si="9"/>
        <v>146</v>
      </c>
      <c r="B218" s="71" t="s">
        <v>383</v>
      </c>
      <c r="C218" s="169" t="s">
        <v>81</v>
      </c>
      <c r="D218" s="52" t="s">
        <v>498</v>
      </c>
      <c r="E218" s="30" t="s">
        <v>329</v>
      </c>
      <c r="F218" s="22" t="s">
        <v>50</v>
      </c>
      <c r="G218" s="67">
        <v>308</v>
      </c>
      <c r="H218" s="55">
        <v>2.545</v>
      </c>
      <c r="I218" s="68"/>
      <c r="J218" s="56"/>
      <c r="K218" s="68"/>
      <c r="L218" s="69"/>
      <c r="M218" s="71">
        <v>7.3</v>
      </c>
      <c r="N218" s="71">
        <v>2</v>
      </c>
      <c r="O218" s="60">
        <v>615</v>
      </c>
      <c r="P218" s="59">
        <f>588+27</f>
        <v>615</v>
      </c>
      <c r="Q218" s="71"/>
      <c r="R218" s="71"/>
      <c r="S218" s="72"/>
      <c r="T218" s="62"/>
      <c r="U218" s="63"/>
      <c r="V218" s="64"/>
      <c r="W218" s="65"/>
      <c r="X218" s="63"/>
      <c r="Y218" s="65"/>
      <c r="Z218" s="65"/>
      <c r="CH218" s="46" t="s">
        <v>42</v>
      </c>
      <c r="CI218" s="169" t="s">
        <v>499</v>
      </c>
      <c r="CJ218" s="48" t="s">
        <v>43</v>
      </c>
      <c r="CK218" s="46" t="s">
        <v>75</v>
      </c>
      <c r="CL218" s="46" t="s">
        <v>44</v>
      </c>
      <c r="CM218" s="47" t="s">
        <v>45</v>
      </c>
      <c r="CN218" s="47" t="s">
        <v>45</v>
      </c>
      <c r="CO218" s="46" t="s">
        <v>42</v>
      </c>
    </row>
    <row r="219" spans="1:93" ht="27" customHeight="1">
      <c r="A219" s="30">
        <f t="shared" si="9"/>
        <v>147</v>
      </c>
      <c r="B219" s="119" t="s">
        <v>500</v>
      </c>
      <c r="C219" s="424" t="s">
        <v>501</v>
      </c>
      <c r="D219" s="424"/>
      <c r="E219" s="94" t="s">
        <v>329</v>
      </c>
      <c r="F219" s="98" t="s">
        <v>51</v>
      </c>
      <c r="G219" s="113">
        <v>54.5</v>
      </c>
      <c r="H219" s="114">
        <v>0.381</v>
      </c>
      <c r="I219" s="115"/>
      <c r="J219" s="116"/>
      <c r="K219" s="115"/>
      <c r="L219" s="117"/>
      <c r="M219" s="118">
        <v>7</v>
      </c>
      <c r="N219" s="119">
        <v>2</v>
      </c>
      <c r="O219" s="120">
        <v>109</v>
      </c>
      <c r="P219" s="121"/>
      <c r="Q219" s="119"/>
      <c r="R219" s="119"/>
      <c r="S219" s="122"/>
      <c r="T219" s="62"/>
      <c r="U219" s="63"/>
      <c r="V219" s="64"/>
      <c r="W219" s="65"/>
      <c r="X219" s="63"/>
      <c r="Y219" s="65"/>
      <c r="Z219" s="65"/>
      <c r="CH219" s="46" t="s">
        <v>52</v>
      </c>
      <c r="CI219" s="46"/>
      <c r="CJ219" s="46"/>
      <c r="CK219" s="46"/>
      <c r="CL219" s="46"/>
      <c r="CM219" s="46"/>
      <c r="CN219" s="46"/>
      <c r="CO219" s="46"/>
    </row>
    <row r="220" spans="1:93" ht="27" customHeight="1">
      <c r="A220" s="30">
        <f t="shared" si="9"/>
        <v>148</v>
      </c>
      <c r="B220" s="71" t="s">
        <v>502</v>
      </c>
      <c r="C220" s="169" t="s">
        <v>236</v>
      </c>
      <c r="D220" s="52" t="s">
        <v>184</v>
      </c>
      <c r="E220" s="30" t="s">
        <v>329</v>
      </c>
      <c r="F220" s="22" t="s">
        <v>50</v>
      </c>
      <c r="G220" s="67">
        <v>138</v>
      </c>
      <c r="H220" s="55">
        <v>0.972</v>
      </c>
      <c r="I220" s="68"/>
      <c r="J220" s="56"/>
      <c r="K220" s="68"/>
      <c r="L220" s="69"/>
      <c r="M220" s="71">
        <v>7.4</v>
      </c>
      <c r="N220" s="71">
        <v>2</v>
      </c>
      <c r="O220" s="60">
        <v>276</v>
      </c>
      <c r="P220" s="59">
        <f>99+248</f>
        <v>347</v>
      </c>
      <c r="Q220" s="71"/>
      <c r="R220" s="71"/>
      <c r="S220" s="72"/>
      <c r="T220" s="62"/>
      <c r="U220" s="63"/>
      <c r="V220" s="64"/>
      <c r="W220" s="65"/>
      <c r="X220" s="63"/>
      <c r="Y220" s="65"/>
      <c r="Z220" s="65"/>
      <c r="CH220" s="46" t="s">
        <v>52</v>
      </c>
      <c r="CI220" s="46"/>
      <c r="CJ220" s="46"/>
      <c r="CK220" s="46"/>
      <c r="CL220" s="46"/>
      <c r="CM220" s="46"/>
      <c r="CN220" s="46"/>
      <c r="CO220" s="46"/>
    </row>
    <row r="221" spans="1:93" ht="40.5" customHeight="1">
      <c r="A221" s="30">
        <f t="shared" si="9"/>
        <v>149</v>
      </c>
      <c r="B221" s="71" t="s">
        <v>503</v>
      </c>
      <c r="C221" s="169" t="s">
        <v>143</v>
      </c>
      <c r="D221" s="52" t="s">
        <v>109</v>
      </c>
      <c r="E221" s="30" t="s">
        <v>329</v>
      </c>
      <c r="F221" s="22" t="s">
        <v>50</v>
      </c>
      <c r="G221" s="67">
        <v>158</v>
      </c>
      <c r="H221" s="55">
        <v>2.005</v>
      </c>
      <c r="I221" s="68"/>
      <c r="J221" s="56"/>
      <c r="K221" s="68"/>
      <c r="L221" s="69"/>
      <c r="M221" s="71">
        <v>8.9</v>
      </c>
      <c r="N221" s="71">
        <v>2</v>
      </c>
      <c r="O221" s="60">
        <v>316</v>
      </c>
      <c r="P221" s="59">
        <v>376</v>
      </c>
      <c r="Q221" s="71"/>
      <c r="R221" s="71"/>
      <c r="S221" s="72">
        <v>2.005</v>
      </c>
      <c r="T221" s="62"/>
      <c r="U221" s="63"/>
      <c r="V221" s="64"/>
      <c r="W221" s="65"/>
      <c r="X221" s="63"/>
      <c r="Y221" s="65"/>
      <c r="Z221" s="65"/>
      <c r="CH221" s="46" t="s">
        <v>42</v>
      </c>
      <c r="CI221" s="169" t="s">
        <v>504</v>
      </c>
      <c r="CJ221" s="48" t="s">
        <v>43</v>
      </c>
      <c r="CK221" s="46" t="s">
        <v>75</v>
      </c>
      <c r="CL221" s="97" t="s">
        <v>66</v>
      </c>
      <c r="CM221" s="46" t="s">
        <v>45</v>
      </c>
      <c r="CN221" s="46" t="s">
        <v>45</v>
      </c>
      <c r="CO221" s="46" t="s">
        <v>42</v>
      </c>
    </row>
    <row r="222" spans="1:93" ht="48" customHeight="1">
      <c r="A222" s="30">
        <f t="shared" si="9"/>
        <v>150</v>
      </c>
      <c r="B222" s="71" t="s">
        <v>503</v>
      </c>
      <c r="C222" s="169" t="s">
        <v>109</v>
      </c>
      <c r="D222" s="52" t="s">
        <v>505</v>
      </c>
      <c r="E222" s="30" t="s">
        <v>329</v>
      </c>
      <c r="F222" s="22" t="s">
        <v>50</v>
      </c>
      <c r="G222" s="67">
        <v>259</v>
      </c>
      <c r="H222" s="55">
        <v>2.539</v>
      </c>
      <c r="I222" s="68"/>
      <c r="J222" s="56"/>
      <c r="K222" s="68"/>
      <c r="L222" s="69"/>
      <c r="M222" s="71">
        <v>8.9</v>
      </c>
      <c r="N222" s="71">
        <v>2</v>
      </c>
      <c r="O222" s="60">
        <v>518</v>
      </c>
      <c r="P222" s="59">
        <v>811</v>
      </c>
      <c r="Q222" s="71"/>
      <c r="R222" s="71"/>
      <c r="S222" s="72"/>
      <c r="T222" s="62"/>
      <c r="U222" s="63"/>
      <c r="V222" s="64"/>
      <c r="W222" s="65"/>
      <c r="X222" s="63"/>
      <c r="Y222" s="65"/>
      <c r="Z222" s="65"/>
      <c r="CH222" s="46" t="s">
        <v>42</v>
      </c>
      <c r="CI222" s="169" t="s">
        <v>506</v>
      </c>
      <c r="CJ222" s="48" t="s">
        <v>43</v>
      </c>
      <c r="CK222" s="46" t="s">
        <v>75</v>
      </c>
      <c r="CL222" s="97" t="s">
        <v>66</v>
      </c>
      <c r="CM222" s="46" t="s">
        <v>45</v>
      </c>
      <c r="CN222" s="46" t="s">
        <v>45</v>
      </c>
      <c r="CO222" s="46" t="s">
        <v>42</v>
      </c>
    </row>
    <row r="223" spans="1:93" ht="27" customHeight="1">
      <c r="A223" s="30">
        <f t="shared" si="9"/>
        <v>151</v>
      </c>
      <c r="B223" s="71" t="s">
        <v>507</v>
      </c>
      <c r="C223" s="169" t="s">
        <v>180</v>
      </c>
      <c r="D223" s="52" t="s">
        <v>82</v>
      </c>
      <c r="E223" s="30" t="s">
        <v>329</v>
      </c>
      <c r="F223" s="22" t="s">
        <v>50</v>
      </c>
      <c r="G223" s="67">
        <v>221</v>
      </c>
      <c r="H223" s="55">
        <v>1.556</v>
      </c>
      <c r="I223" s="68"/>
      <c r="J223" s="56"/>
      <c r="K223" s="68"/>
      <c r="L223" s="69"/>
      <c r="M223" s="71">
        <v>7.2</v>
      </c>
      <c r="N223" s="71">
        <v>2</v>
      </c>
      <c r="O223" s="60">
        <v>442</v>
      </c>
      <c r="P223" s="59">
        <v>442</v>
      </c>
      <c r="Q223" s="71"/>
      <c r="R223" s="71"/>
      <c r="S223" s="72"/>
      <c r="T223" s="62"/>
      <c r="U223" s="63"/>
      <c r="V223" s="64"/>
      <c r="W223" s="65"/>
      <c r="X223" s="63"/>
      <c r="Y223" s="65"/>
      <c r="Z223" s="65"/>
      <c r="CH223" s="46" t="s">
        <v>42</v>
      </c>
      <c r="CI223" s="46" t="s">
        <v>294</v>
      </c>
      <c r="CJ223" s="48" t="s">
        <v>43</v>
      </c>
      <c r="CK223" s="46" t="s">
        <v>286</v>
      </c>
      <c r="CL223" s="46" t="s">
        <v>44</v>
      </c>
      <c r="CM223" s="47" t="s">
        <v>45</v>
      </c>
      <c r="CN223" s="47" t="s">
        <v>45</v>
      </c>
      <c r="CO223" s="46" t="s">
        <v>42</v>
      </c>
    </row>
    <row r="224" spans="1:93" ht="27" customHeight="1">
      <c r="A224" s="30">
        <f t="shared" si="9"/>
        <v>152</v>
      </c>
      <c r="B224" s="71" t="s">
        <v>508</v>
      </c>
      <c r="C224" s="169" t="s">
        <v>48</v>
      </c>
      <c r="D224" s="52" t="s">
        <v>399</v>
      </c>
      <c r="E224" s="30" t="s">
        <v>329</v>
      </c>
      <c r="F224" s="22" t="s">
        <v>50</v>
      </c>
      <c r="G224" s="67">
        <v>127</v>
      </c>
      <c r="H224" s="55">
        <v>1.28</v>
      </c>
      <c r="I224" s="68"/>
      <c r="J224" s="56">
        <v>0.104</v>
      </c>
      <c r="K224" s="68"/>
      <c r="L224" s="69"/>
      <c r="M224" s="71">
        <v>12.2</v>
      </c>
      <c r="N224" s="71">
        <v>2</v>
      </c>
      <c r="O224" s="60">
        <v>254</v>
      </c>
      <c r="P224" s="59">
        <f>254+13</f>
        <v>267</v>
      </c>
      <c r="Q224" s="71"/>
      <c r="R224" s="71"/>
      <c r="S224" s="72"/>
      <c r="T224" s="62"/>
      <c r="U224" s="63"/>
      <c r="V224" s="64"/>
      <c r="W224" s="65"/>
      <c r="X224" s="63"/>
      <c r="Y224" s="65"/>
      <c r="Z224" s="65"/>
      <c r="CH224" s="46" t="s">
        <v>42</v>
      </c>
      <c r="CI224" s="46" t="s">
        <v>509</v>
      </c>
      <c r="CJ224" s="48" t="s">
        <v>43</v>
      </c>
      <c r="CK224" s="46" t="s">
        <v>72</v>
      </c>
      <c r="CL224" s="46" t="s">
        <v>44</v>
      </c>
      <c r="CM224" s="47" t="s">
        <v>45</v>
      </c>
      <c r="CN224" s="47" t="s">
        <v>45</v>
      </c>
      <c r="CO224" s="46" t="s">
        <v>42</v>
      </c>
    </row>
    <row r="225" spans="1:93" ht="55.5" customHeight="1">
      <c r="A225" s="30">
        <f t="shared" si="9"/>
        <v>153</v>
      </c>
      <c r="B225" s="71" t="s">
        <v>510</v>
      </c>
      <c r="C225" s="191" t="s">
        <v>511</v>
      </c>
      <c r="D225" s="191" t="s">
        <v>512</v>
      </c>
      <c r="E225" s="30" t="s">
        <v>329</v>
      </c>
      <c r="F225" s="22" t="s">
        <v>172</v>
      </c>
      <c r="G225" s="67">
        <v>220</v>
      </c>
      <c r="H225" s="55">
        <v>1.759</v>
      </c>
      <c r="I225" s="140"/>
      <c r="J225" s="56"/>
      <c r="K225" s="140"/>
      <c r="L225" s="69"/>
      <c r="M225" s="71">
        <v>7.7</v>
      </c>
      <c r="N225" s="71">
        <v>2</v>
      </c>
      <c r="O225" s="60">
        <v>440</v>
      </c>
      <c r="P225" s="59">
        <f>95+378</f>
        <v>473</v>
      </c>
      <c r="Q225" s="71"/>
      <c r="R225" s="71"/>
      <c r="S225" s="72"/>
      <c r="T225" s="62"/>
      <c r="U225" s="63"/>
      <c r="V225" s="64"/>
      <c r="W225" s="65"/>
      <c r="X225" s="63"/>
      <c r="Y225" s="65"/>
      <c r="Z225" s="65"/>
      <c r="CH225" s="46" t="s">
        <v>42</v>
      </c>
      <c r="CI225" s="191" t="s">
        <v>513</v>
      </c>
      <c r="CJ225" s="48" t="s">
        <v>43</v>
      </c>
      <c r="CK225" s="46" t="s">
        <v>65</v>
      </c>
      <c r="CL225" s="46" t="s">
        <v>44</v>
      </c>
      <c r="CM225" s="46" t="s">
        <v>45</v>
      </c>
      <c r="CN225" s="46" t="s">
        <v>45</v>
      </c>
      <c r="CO225" s="46" t="s">
        <v>42</v>
      </c>
    </row>
    <row r="226" spans="1:93" ht="27" customHeight="1">
      <c r="A226" s="30">
        <f t="shared" si="9"/>
        <v>154</v>
      </c>
      <c r="B226" s="71" t="s">
        <v>373</v>
      </c>
      <c r="C226" s="169" t="s">
        <v>514</v>
      </c>
      <c r="D226" s="52" t="s">
        <v>59</v>
      </c>
      <c r="E226" s="30" t="s">
        <v>329</v>
      </c>
      <c r="F226" s="22" t="s">
        <v>51</v>
      </c>
      <c r="G226" s="67">
        <v>1126</v>
      </c>
      <c r="H226" s="55">
        <v>6.887</v>
      </c>
      <c r="I226" s="68"/>
      <c r="J226" s="56"/>
      <c r="K226" s="68"/>
      <c r="L226" s="69"/>
      <c r="M226" s="71">
        <v>6.3</v>
      </c>
      <c r="N226" s="71">
        <v>2</v>
      </c>
      <c r="O226" s="60">
        <v>2252</v>
      </c>
      <c r="P226" s="59">
        <f>29</f>
        <v>29</v>
      </c>
      <c r="Q226" s="71">
        <v>0</v>
      </c>
      <c r="R226" s="71"/>
      <c r="S226" s="72">
        <v>6.887</v>
      </c>
      <c r="T226" s="62"/>
      <c r="U226" s="63"/>
      <c r="V226" s="64"/>
      <c r="W226" s="65"/>
      <c r="X226" s="63"/>
      <c r="Y226" s="65"/>
      <c r="Z226" s="65"/>
      <c r="CH226" s="46" t="s">
        <v>52</v>
      </c>
      <c r="CI226" s="46"/>
      <c r="CJ226" s="46"/>
      <c r="CK226" s="46"/>
      <c r="CL226" s="46"/>
      <c r="CM226" s="46"/>
      <c r="CN226" s="46"/>
      <c r="CO226" s="46"/>
    </row>
    <row r="227" spans="1:93" ht="27" customHeight="1">
      <c r="A227" s="30">
        <f t="shared" si="9"/>
        <v>155</v>
      </c>
      <c r="B227" s="71" t="s">
        <v>515</v>
      </c>
      <c r="C227" s="417" t="s">
        <v>516</v>
      </c>
      <c r="D227" s="417"/>
      <c r="E227" s="30" t="s">
        <v>329</v>
      </c>
      <c r="F227" s="22" t="s">
        <v>51</v>
      </c>
      <c r="G227" s="67">
        <v>1458</v>
      </c>
      <c r="H227" s="55">
        <v>9.075</v>
      </c>
      <c r="I227" s="68"/>
      <c r="J227" s="56"/>
      <c r="K227" s="68"/>
      <c r="L227" s="69"/>
      <c r="M227" s="71">
        <v>8.3</v>
      </c>
      <c r="N227" s="71">
        <v>2</v>
      </c>
      <c r="O227" s="60">
        <v>2233</v>
      </c>
      <c r="P227" s="59">
        <f>1968+265</f>
        <v>2233</v>
      </c>
      <c r="Q227" s="71">
        <v>0</v>
      </c>
      <c r="R227" s="71"/>
      <c r="S227" s="72">
        <v>9.075</v>
      </c>
      <c r="T227" s="62"/>
      <c r="U227" s="63"/>
      <c r="V227" s="64"/>
      <c r="W227" s="65"/>
      <c r="X227" s="63"/>
      <c r="Y227" s="65"/>
      <c r="Z227" s="65"/>
      <c r="CH227" s="46" t="s">
        <v>52</v>
      </c>
      <c r="CI227" s="46"/>
      <c r="CJ227" s="46"/>
      <c r="CK227" s="46"/>
      <c r="CL227" s="46"/>
      <c r="CM227" s="46"/>
      <c r="CN227" s="46"/>
      <c r="CO227" s="46"/>
    </row>
    <row r="228" spans="1:93" ht="27" customHeight="1">
      <c r="A228" s="30">
        <f t="shared" si="9"/>
        <v>156</v>
      </c>
      <c r="B228" s="71" t="s">
        <v>517</v>
      </c>
      <c r="C228" s="190" t="s">
        <v>518</v>
      </c>
      <c r="D228" s="52" t="s">
        <v>373</v>
      </c>
      <c r="E228" s="30" t="s">
        <v>329</v>
      </c>
      <c r="F228" s="22" t="s">
        <v>51</v>
      </c>
      <c r="G228" s="67">
        <v>533</v>
      </c>
      <c r="H228" s="55">
        <v>2.973</v>
      </c>
      <c r="I228" s="68"/>
      <c r="J228" s="56"/>
      <c r="K228" s="68"/>
      <c r="L228" s="69"/>
      <c r="M228" s="71">
        <v>5.3</v>
      </c>
      <c r="N228" s="71">
        <v>0</v>
      </c>
      <c r="O228" s="60">
        <v>57</v>
      </c>
      <c r="P228" s="59">
        <f>57</f>
        <v>57</v>
      </c>
      <c r="Q228" s="71"/>
      <c r="R228" s="71"/>
      <c r="S228" s="72"/>
      <c r="T228" s="62"/>
      <c r="U228" s="63"/>
      <c r="V228" s="64"/>
      <c r="W228" s="65"/>
      <c r="X228" s="63"/>
      <c r="Y228" s="65"/>
      <c r="Z228" s="65"/>
      <c r="CH228" s="46" t="s">
        <v>52</v>
      </c>
      <c r="CI228" s="46"/>
      <c r="CJ228" s="46"/>
      <c r="CK228" s="46"/>
      <c r="CL228" s="46"/>
      <c r="CM228" s="46"/>
      <c r="CN228" s="46"/>
      <c r="CO228" s="46"/>
    </row>
    <row r="229" spans="1:93" ht="47.25" customHeight="1">
      <c r="A229" s="408">
        <f t="shared" si="9"/>
        <v>157</v>
      </c>
      <c r="B229" s="431" t="s">
        <v>519</v>
      </c>
      <c r="C229" s="417" t="s">
        <v>308</v>
      </c>
      <c r="D229" s="417" t="s">
        <v>82</v>
      </c>
      <c r="E229" s="408" t="s">
        <v>329</v>
      </c>
      <c r="F229" s="22" t="s">
        <v>50</v>
      </c>
      <c r="G229" s="410">
        <v>535</v>
      </c>
      <c r="H229" s="418">
        <v>4.558</v>
      </c>
      <c r="I229" s="68"/>
      <c r="J229" s="56"/>
      <c r="K229" s="68"/>
      <c r="L229" s="69"/>
      <c r="M229" s="408">
        <v>7.9</v>
      </c>
      <c r="N229" s="408">
        <v>2</v>
      </c>
      <c r="O229" s="426">
        <v>1070</v>
      </c>
      <c r="P229" s="59">
        <f>1066+166</f>
        <v>1232</v>
      </c>
      <c r="Q229" s="423"/>
      <c r="R229" s="423"/>
      <c r="S229" s="423"/>
      <c r="T229" s="62"/>
      <c r="U229" s="63"/>
      <c r="V229" s="64"/>
      <c r="W229" s="65"/>
      <c r="X229" s="63"/>
      <c r="Y229" s="65"/>
      <c r="Z229" s="65"/>
      <c r="CH229" s="95" t="s">
        <v>62</v>
      </c>
      <c r="CI229" s="95" t="s">
        <v>520</v>
      </c>
      <c r="CJ229" s="96" t="s">
        <v>71</v>
      </c>
      <c r="CK229" s="97" t="s">
        <v>89</v>
      </c>
      <c r="CL229" s="97" t="s">
        <v>66</v>
      </c>
      <c r="CM229" s="97" t="s">
        <v>67</v>
      </c>
      <c r="CN229" s="96" t="s">
        <v>45</v>
      </c>
      <c r="CO229" s="96"/>
    </row>
    <row r="230" spans="1:93" ht="47.25" customHeight="1">
      <c r="A230" s="408"/>
      <c r="B230" s="431"/>
      <c r="C230" s="417"/>
      <c r="D230" s="417"/>
      <c r="E230" s="408"/>
      <c r="F230" s="22"/>
      <c r="G230" s="410"/>
      <c r="H230" s="418"/>
      <c r="I230" s="68"/>
      <c r="J230" s="56"/>
      <c r="K230" s="68"/>
      <c r="L230" s="69"/>
      <c r="M230" s="408"/>
      <c r="N230" s="408"/>
      <c r="O230" s="426"/>
      <c r="P230" s="59"/>
      <c r="Q230" s="423"/>
      <c r="R230" s="423"/>
      <c r="S230" s="423"/>
      <c r="T230" s="62"/>
      <c r="U230" s="63"/>
      <c r="V230" s="64"/>
      <c r="W230" s="65"/>
      <c r="X230" s="63"/>
      <c r="Y230" s="65"/>
      <c r="Z230" s="65"/>
      <c r="CH230" s="95" t="s">
        <v>62</v>
      </c>
      <c r="CI230" s="95" t="s">
        <v>521</v>
      </c>
      <c r="CJ230" s="96" t="s">
        <v>64</v>
      </c>
      <c r="CK230" s="97" t="s">
        <v>176</v>
      </c>
      <c r="CL230" s="97" t="s">
        <v>66</v>
      </c>
      <c r="CM230" s="97" t="s">
        <v>67</v>
      </c>
      <c r="CN230" s="96" t="s">
        <v>45</v>
      </c>
      <c r="CO230" s="96"/>
    </row>
    <row r="231" spans="1:93" ht="47.25" customHeight="1">
      <c r="A231" s="408"/>
      <c r="B231" s="431"/>
      <c r="C231" s="417"/>
      <c r="D231" s="417"/>
      <c r="E231" s="408"/>
      <c r="F231" s="22"/>
      <c r="G231" s="410"/>
      <c r="H231" s="418"/>
      <c r="I231" s="68"/>
      <c r="J231" s="56"/>
      <c r="K231" s="68"/>
      <c r="L231" s="69"/>
      <c r="M231" s="408"/>
      <c r="N231" s="408"/>
      <c r="O231" s="426"/>
      <c r="P231" s="59"/>
      <c r="Q231" s="423"/>
      <c r="R231" s="423"/>
      <c r="S231" s="423"/>
      <c r="T231" s="62"/>
      <c r="U231" s="63"/>
      <c r="V231" s="64"/>
      <c r="W231" s="65"/>
      <c r="X231" s="63"/>
      <c r="Y231" s="65"/>
      <c r="Z231" s="65"/>
      <c r="CH231" s="95" t="s">
        <v>522</v>
      </c>
      <c r="CI231" s="95" t="s">
        <v>523</v>
      </c>
      <c r="CJ231" s="96" t="s">
        <v>71</v>
      </c>
      <c r="CK231" s="97" t="s">
        <v>176</v>
      </c>
      <c r="CL231" s="97" t="s">
        <v>66</v>
      </c>
      <c r="CM231" s="97" t="s">
        <v>67</v>
      </c>
      <c r="CN231" s="96" t="s">
        <v>45</v>
      </c>
      <c r="CO231" s="96"/>
    </row>
    <row r="232" spans="1:93" ht="48.75" customHeight="1">
      <c r="A232" s="30">
        <f>A229+1</f>
        <v>158</v>
      </c>
      <c r="B232" s="71" t="s">
        <v>524</v>
      </c>
      <c r="C232" s="187" t="s">
        <v>525</v>
      </c>
      <c r="D232" s="52" t="s">
        <v>526</v>
      </c>
      <c r="E232" s="30" t="s">
        <v>329</v>
      </c>
      <c r="F232" s="22" t="s">
        <v>51</v>
      </c>
      <c r="G232" s="67">
        <v>677</v>
      </c>
      <c r="H232" s="55">
        <v>5.273</v>
      </c>
      <c r="I232" s="68"/>
      <c r="J232" s="56"/>
      <c r="K232" s="68"/>
      <c r="L232" s="69"/>
      <c r="M232" s="70">
        <v>7.2</v>
      </c>
      <c r="N232" s="71">
        <v>2</v>
      </c>
      <c r="O232" s="60">
        <v>1354</v>
      </c>
      <c r="P232" s="59">
        <f>1683+478</f>
        <v>2161</v>
      </c>
      <c r="Q232" s="71">
        <v>0</v>
      </c>
      <c r="R232" s="71" t="s">
        <v>94</v>
      </c>
      <c r="S232" s="72"/>
      <c r="T232" s="62"/>
      <c r="U232" s="63"/>
      <c r="V232" s="64"/>
      <c r="W232" s="65"/>
      <c r="X232" s="63"/>
      <c r="Y232" s="65"/>
      <c r="Z232" s="65"/>
      <c r="CH232" s="46" t="s">
        <v>52</v>
      </c>
      <c r="CI232" s="46"/>
      <c r="CJ232" s="46"/>
      <c r="CK232" s="46"/>
      <c r="CL232" s="46"/>
      <c r="CM232" s="46"/>
      <c r="CN232" s="46"/>
      <c r="CO232" s="46"/>
    </row>
    <row r="233" spans="1:93" ht="27" customHeight="1">
      <c r="A233" s="30">
        <f aca="true" t="shared" si="10" ref="A233:A242">A232+1</f>
        <v>159</v>
      </c>
      <c r="B233" s="71" t="s">
        <v>527</v>
      </c>
      <c r="C233" s="169" t="s">
        <v>281</v>
      </c>
      <c r="D233" s="52" t="s">
        <v>528</v>
      </c>
      <c r="E233" s="30" t="s">
        <v>329</v>
      </c>
      <c r="F233" s="22" t="s">
        <v>172</v>
      </c>
      <c r="G233" s="67">
        <v>177</v>
      </c>
      <c r="H233" s="55">
        <v>1.134</v>
      </c>
      <c r="I233" s="140"/>
      <c r="J233" s="56"/>
      <c r="K233" s="140"/>
      <c r="L233" s="69"/>
      <c r="M233" s="71">
        <v>7.3</v>
      </c>
      <c r="N233" s="71">
        <v>2</v>
      </c>
      <c r="O233" s="60">
        <v>354</v>
      </c>
      <c r="P233" s="59">
        <v>644</v>
      </c>
      <c r="Q233" s="71"/>
      <c r="R233" s="71"/>
      <c r="S233" s="72"/>
      <c r="T233" s="62"/>
      <c r="U233" s="63"/>
      <c r="V233" s="64"/>
      <c r="W233" s="65"/>
      <c r="X233" s="63"/>
      <c r="Y233" s="65"/>
      <c r="Z233" s="65"/>
      <c r="CH233" s="46" t="s">
        <v>52</v>
      </c>
      <c r="CI233" s="46"/>
      <c r="CJ233" s="46"/>
      <c r="CK233" s="46"/>
      <c r="CL233" s="46"/>
      <c r="CM233" s="46"/>
      <c r="CN233" s="46"/>
      <c r="CO233" s="46"/>
    </row>
    <row r="234" spans="1:93" ht="27" customHeight="1">
      <c r="A234" s="30">
        <f t="shared" si="10"/>
        <v>160</v>
      </c>
      <c r="B234" s="71" t="s">
        <v>529</v>
      </c>
      <c r="C234" s="169" t="s">
        <v>399</v>
      </c>
      <c r="D234" s="52" t="s">
        <v>91</v>
      </c>
      <c r="E234" s="30" t="s">
        <v>329</v>
      </c>
      <c r="F234" s="22" t="s">
        <v>50</v>
      </c>
      <c r="G234" s="67">
        <v>275</v>
      </c>
      <c r="H234" s="55">
        <v>2.091</v>
      </c>
      <c r="I234" s="68"/>
      <c r="J234" s="56"/>
      <c r="K234" s="68"/>
      <c r="L234" s="69"/>
      <c r="M234" s="71">
        <v>7.5</v>
      </c>
      <c r="N234" s="71">
        <v>2</v>
      </c>
      <c r="O234" s="60">
        <v>550</v>
      </c>
      <c r="P234" s="59">
        <f>33+549</f>
        <v>582</v>
      </c>
      <c r="Q234" s="71"/>
      <c r="R234" s="71"/>
      <c r="S234" s="72"/>
      <c r="T234" s="62"/>
      <c r="U234" s="63"/>
      <c r="V234" s="64"/>
      <c r="W234" s="65"/>
      <c r="X234" s="63"/>
      <c r="Y234" s="65"/>
      <c r="Z234" s="65"/>
      <c r="CH234" s="46" t="s">
        <v>42</v>
      </c>
      <c r="CI234" s="46" t="s">
        <v>530</v>
      </c>
      <c r="CJ234" s="48" t="s">
        <v>43</v>
      </c>
      <c r="CK234" s="46" t="s">
        <v>453</v>
      </c>
      <c r="CL234" s="46" t="s">
        <v>44</v>
      </c>
      <c r="CM234" s="47" t="s">
        <v>45</v>
      </c>
      <c r="CN234" s="47" t="s">
        <v>45</v>
      </c>
      <c r="CO234" s="46" t="s">
        <v>42</v>
      </c>
    </row>
    <row r="235" spans="1:93" ht="54" customHeight="1">
      <c r="A235" s="30">
        <f t="shared" si="10"/>
        <v>161</v>
      </c>
      <c r="B235" s="71" t="s">
        <v>531</v>
      </c>
      <c r="C235" s="169" t="s">
        <v>80</v>
      </c>
      <c r="D235" s="52" t="s">
        <v>511</v>
      </c>
      <c r="E235" s="30" t="s">
        <v>329</v>
      </c>
      <c r="F235" s="22" t="s">
        <v>50</v>
      </c>
      <c r="G235" s="67">
        <v>150</v>
      </c>
      <c r="H235" s="55">
        <v>1.641</v>
      </c>
      <c r="I235" s="140"/>
      <c r="J235" s="56"/>
      <c r="K235" s="140"/>
      <c r="L235" s="69"/>
      <c r="M235" s="71">
        <v>11</v>
      </c>
      <c r="N235" s="71">
        <v>2</v>
      </c>
      <c r="O235" s="60">
        <v>300</v>
      </c>
      <c r="P235" s="59">
        <f>45+321</f>
        <v>366</v>
      </c>
      <c r="Q235" s="71"/>
      <c r="R235" s="71"/>
      <c r="S235" s="72"/>
      <c r="T235" s="62"/>
      <c r="U235" s="63"/>
      <c r="V235" s="64"/>
      <c r="W235" s="65"/>
      <c r="X235" s="63"/>
      <c r="Y235" s="65"/>
      <c r="Z235" s="65"/>
      <c r="CH235" s="46" t="s">
        <v>42</v>
      </c>
      <c r="CI235" s="169" t="s">
        <v>532</v>
      </c>
      <c r="CJ235" s="48" t="s">
        <v>43</v>
      </c>
      <c r="CK235" s="46" t="s">
        <v>176</v>
      </c>
      <c r="CL235" s="46" t="s">
        <v>44</v>
      </c>
      <c r="CM235" s="46" t="s">
        <v>45</v>
      </c>
      <c r="CN235" s="46" t="s">
        <v>45</v>
      </c>
      <c r="CO235" s="46" t="s">
        <v>42</v>
      </c>
    </row>
    <row r="236" spans="1:93" ht="49.5" customHeight="1">
      <c r="A236" s="30">
        <f t="shared" si="10"/>
        <v>162</v>
      </c>
      <c r="B236" s="71" t="s">
        <v>533</v>
      </c>
      <c r="C236" s="169" t="s">
        <v>303</v>
      </c>
      <c r="D236" s="52" t="s">
        <v>534</v>
      </c>
      <c r="E236" s="30" t="s">
        <v>329</v>
      </c>
      <c r="F236" s="22" t="s">
        <v>50</v>
      </c>
      <c r="G236" s="67">
        <v>269</v>
      </c>
      <c r="H236" s="55">
        <v>1.645</v>
      </c>
      <c r="I236" s="140"/>
      <c r="J236" s="56"/>
      <c r="K236" s="140"/>
      <c r="L236" s="69"/>
      <c r="M236" s="71">
        <v>8.3</v>
      </c>
      <c r="N236" s="71">
        <v>2</v>
      </c>
      <c r="O236" s="60">
        <v>538</v>
      </c>
      <c r="P236" s="59">
        <f>24+1492</f>
        <v>1516</v>
      </c>
      <c r="Q236" s="71"/>
      <c r="R236" s="71"/>
      <c r="S236" s="72"/>
      <c r="T236" s="62"/>
      <c r="U236" s="63"/>
      <c r="V236" s="64"/>
      <c r="W236" s="65"/>
      <c r="X236" s="63"/>
      <c r="Y236" s="65"/>
      <c r="Z236" s="65"/>
      <c r="CH236" s="46" t="s">
        <v>52</v>
      </c>
      <c r="CI236" s="46"/>
      <c r="CJ236" s="46"/>
      <c r="CK236" s="46"/>
      <c r="CL236" s="46"/>
      <c r="CM236" s="46"/>
      <c r="CN236" s="46"/>
      <c r="CO236" s="46"/>
    </row>
    <row r="237" spans="1:93" ht="37.5" customHeight="1">
      <c r="A237" s="30">
        <f t="shared" si="10"/>
        <v>163</v>
      </c>
      <c r="B237" s="71" t="s">
        <v>535</v>
      </c>
      <c r="C237" s="169" t="s">
        <v>347</v>
      </c>
      <c r="D237" s="52" t="s">
        <v>265</v>
      </c>
      <c r="E237" s="30" t="s">
        <v>329</v>
      </c>
      <c r="F237" s="22" t="s">
        <v>50</v>
      </c>
      <c r="G237" s="67">
        <v>424</v>
      </c>
      <c r="H237" s="55">
        <v>3.79</v>
      </c>
      <c r="I237" s="140"/>
      <c r="J237" s="56"/>
      <c r="K237" s="140"/>
      <c r="L237" s="69"/>
      <c r="M237" s="71">
        <v>9.4</v>
      </c>
      <c r="N237" s="71">
        <v>2</v>
      </c>
      <c r="O237" s="60">
        <v>848</v>
      </c>
      <c r="P237" s="59">
        <f>62+997</f>
        <v>1059</v>
      </c>
      <c r="Q237" s="71"/>
      <c r="R237" s="71"/>
      <c r="S237" s="72"/>
      <c r="T237" s="62"/>
      <c r="U237" s="63"/>
      <c r="V237" s="64"/>
      <c r="W237" s="65"/>
      <c r="X237" s="63"/>
      <c r="Y237" s="65"/>
      <c r="Z237" s="65"/>
      <c r="CH237" s="46" t="s">
        <v>42</v>
      </c>
      <c r="CI237" s="169" t="s">
        <v>536</v>
      </c>
      <c r="CJ237" s="48" t="s">
        <v>43</v>
      </c>
      <c r="CK237" s="97" t="s">
        <v>85</v>
      </c>
      <c r="CL237" s="46" t="s">
        <v>44</v>
      </c>
      <c r="CM237" s="46" t="s">
        <v>45</v>
      </c>
      <c r="CN237" s="46" t="s">
        <v>45</v>
      </c>
      <c r="CO237" s="46"/>
    </row>
    <row r="238" spans="1:93" ht="27" customHeight="1">
      <c r="A238" s="30">
        <f t="shared" si="10"/>
        <v>164</v>
      </c>
      <c r="B238" s="71" t="s">
        <v>537</v>
      </c>
      <c r="C238" s="169" t="s">
        <v>111</v>
      </c>
      <c r="D238" s="52" t="s">
        <v>503</v>
      </c>
      <c r="E238" s="30" t="s">
        <v>329</v>
      </c>
      <c r="F238" s="22" t="s">
        <v>50</v>
      </c>
      <c r="G238" s="67">
        <v>386</v>
      </c>
      <c r="H238" s="55">
        <v>3.186</v>
      </c>
      <c r="I238" s="140"/>
      <c r="J238" s="56"/>
      <c r="K238" s="140"/>
      <c r="L238" s="69"/>
      <c r="M238" s="71">
        <v>13.1</v>
      </c>
      <c r="N238" s="71">
        <v>2</v>
      </c>
      <c r="O238" s="60">
        <v>706</v>
      </c>
      <c r="P238" s="59">
        <f>86+620</f>
        <v>706</v>
      </c>
      <c r="Q238" s="71"/>
      <c r="R238" s="71"/>
      <c r="S238" s="72"/>
      <c r="T238" s="62"/>
      <c r="U238" s="63"/>
      <c r="V238" s="64"/>
      <c r="W238" s="65"/>
      <c r="X238" s="63"/>
      <c r="Y238" s="65"/>
      <c r="Z238" s="65"/>
      <c r="CH238" s="46"/>
      <c r="CI238" s="46"/>
      <c r="CJ238" s="46"/>
      <c r="CK238" s="46"/>
      <c r="CL238" s="46"/>
      <c r="CM238" s="46"/>
      <c r="CN238" s="46"/>
      <c r="CO238" s="46"/>
    </row>
    <row r="239" spans="1:93" ht="27" customHeight="1">
      <c r="A239" s="30">
        <f t="shared" si="10"/>
        <v>165</v>
      </c>
      <c r="B239" s="52" t="s">
        <v>538</v>
      </c>
      <c r="C239" s="169" t="s">
        <v>399</v>
      </c>
      <c r="D239" s="52" t="s">
        <v>539</v>
      </c>
      <c r="E239" s="30" t="s">
        <v>329</v>
      </c>
      <c r="F239" s="22" t="s">
        <v>50</v>
      </c>
      <c r="G239" s="67">
        <v>45</v>
      </c>
      <c r="H239" s="55">
        <v>0.233</v>
      </c>
      <c r="I239" s="68"/>
      <c r="J239" s="56"/>
      <c r="K239" s="68"/>
      <c r="L239" s="69"/>
      <c r="M239" s="71">
        <v>5.2</v>
      </c>
      <c r="N239" s="71">
        <v>2</v>
      </c>
      <c r="O239" s="60">
        <v>90</v>
      </c>
      <c r="P239" s="59">
        <f>12+79</f>
        <v>91</v>
      </c>
      <c r="Q239" s="71"/>
      <c r="R239" s="71"/>
      <c r="S239" s="72"/>
      <c r="T239" s="62"/>
      <c r="U239" s="63"/>
      <c r="V239" s="64"/>
      <c r="W239" s="65"/>
      <c r="X239" s="63"/>
      <c r="Y239" s="65"/>
      <c r="Z239" s="65"/>
      <c r="CH239" s="46" t="s">
        <v>42</v>
      </c>
      <c r="CI239" s="46" t="s">
        <v>540</v>
      </c>
      <c r="CJ239" s="48" t="s">
        <v>43</v>
      </c>
      <c r="CK239" s="46" t="s">
        <v>72</v>
      </c>
      <c r="CL239" s="46" t="s">
        <v>44</v>
      </c>
      <c r="CM239" s="47" t="s">
        <v>45</v>
      </c>
      <c r="CN239" s="47" t="s">
        <v>45</v>
      </c>
      <c r="CO239" s="46" t="s">
        <v>42</v>
      </c>
    </row>
    <row r="240" spans="1:93" ht="27" customHeight="1">
      <c r="A240" s="30">
        <f t="shared" si="10"/>
        <v>166</v>
      </c>
      <c r="B240" s="71" t="s">
        <v>541</v>
      </c>
      <c r="C240" s="169" t="s">
        <v>284</v>
      </c>
      <c r="D240" s="52" t="s">
        <v>542</v>
      </c>
      <c r="E240" s="30" t="s">
        <v>329</v>
      </c>
      <c r="F240" s="22" t="s">
        <v>50</v>
      </c>
      <c r="G240" s="67">
        <v>316</v>
      </c>
      <c r="H240" s="55">
        <v>2.499</v>
      </c>
      <c r="I240" s="140"/>
      <c r="J240" s="56"/>
      <c r="K240" s="140"/>
      <c r="L240" s="69"/>
      <c r="M240" s="71">
        <v>7.5</v>
      </c>
      <c r="N240" s="71">
        <v>2</v>
      </c>
      <c r="O240" s="60">
        <v>476</v>
      </c>
      <c r="P240" s="59">
        <f>115+361</f>
        <v>476</v>
      </c>
      <c r="Q240" s="71"/>
      <c r="R240" s="71" t="s">
        <v>51</v>
      </c>
      <c r="S240" s="72"/>
      <c r="T240" s="62"/>
      <c r="U240" s="63"/>
      <c r="V240" s="64"/>
      <c r="W240" s="65"/>
      <c r="X240" s="63"/>
      <c r="Y240" s="65"/>
      <c r="Z240" s="65"/>
      <c r="CH240" s="46" t="s">
        <v>52</v>
      </c>
      <c r="CI240" s="46"/>
      <c r="CJ240" s="46"/>
      <c r="CK240" s="46"/>
      <c r="CL240" s="46"/>
      <c r="CM240" s="46"/>
      <c r="CN240" s="46"/>
      <c r="CO240" s="46"/>
    </row>
    <row r="241" spans="1:93" ht="27" customHeight="1">
      <c r="A241" s="30">
        <f t="shared" si="10"/>
        <v>167</v>
      </c>
      <c r="B241" s="71" t="s">
        <v>543</v>
      </c>
      <c r="C241" s="169" t="s">
        <v>96</v>
      </c>
      <c r="D241" s="52" t="s">
        <v>544</v>
      </c>
      <c r="E241" s="30" t="s">
        <v>329</v>
      </c>
      <c r="F241" s="22" t="s">
        <v>50</v>
      </c>
      <c r="G241" s="67">
        <v>146</v>
      </c>
      <c r="H241" s="55">
        <v>1.86</v>
      </c>
      <c r="I241" s="140"/>
      <c r="J241" s="56">
        <v>0.176</v>
      </c>
      <c r="K241" s="140"/>
      <c r="L241" s="69"/>
      <c r="M241" s="71">
        <v>7.5</v>
      </c>
      <c r="N241" s="71">
        <v>2</v>
      </c>
      <c r="O241" s="60">
        <v>292</v>
      </c>
      <c r="P241" s="59">
        <f>287+216</f>
        <v>503</v>
      </c>
      <c r="Q241" s="71"/>
      <c r="R241" s="71"/>
      <c r="S241" s="72"/>
      <c r="T241" s="62"/>
      <c r="U241" s="63"/>
      <c r="V241" s="64"/>
      <c r="W241" s="65"/>
      <c r="X241" s="63"/>
      <c r="Y241" s="65"/>
      <c r="Z241" s="65"/>
      <c r="CH241" s="46" t="s">
        <v>42</v>
      </c>
      <c r="CI241" s="46" t="s">
        <v>545</v>
      </c>
      <c r="CJ241" s="48" t="s">
        <v>43</v>
      </c>
      <c r="CK241" s="46" t="s">
        <v>295</v>
      </c>
      <c r="CL241" s="46" t="s">
        <v>44</v>
      </c>
      <c r="CM241" s="47" t="s">
        <v>45</v>
      </c>
      <c r="CN241" s="47" t="s">
        <v>45</v>
      </c>
      <c r="CO241" s="46" t="s">
        <v>42</v>
      </c>
    </row>
    <row r="242" spans="1:93" ht="37.5" customHeight="1">
      <c r="A242" s="408">
        <f t="shared" si="10"/>
        <v>168</v>
      </c>
      <c r="B242" s="417" t="s">
        <v>546</v>
      </c>
      <c r="C242" s="417" t="s">
        <v>465</v>
      </c>
      <c r="D242" s="417" t="s">
        <v>547</v>
      </c>
      <c r="E242" s="30" t="s">
        <v>329</v>
      </c>
      <c r="F242" s="22" t="s">
        <v>50</v>
      </c>
      <c r="G242" s="67">
        <v>436</v>
      </c>
      <c r="H242" s="55">
        <v>5.377</v>
      </c>
      <c r="I242" s="140"/>
      <c r="J242" s="56"/>
      <c r="K242" s="140"/>
      <c r="L242" s="69"/>
      <c r="M242" s="71">
        <v>14.3</v>
      </c>
      <c r="N242" s="408">
        <v>2</v>
      </c>
      <c r="O242" s="426">
        <v>872</v>
      </c>
      <c r="P242" s="59">
        <f>104+1429</f>
        <v>1533</v>
      </c>
      <c r="Q242" s="423"/>
      <c r="R242" s="423"/>
      <c r="S242" s="423"/>
      <c r="T242" s="62"/>
      <c r="U242" s="63"/>
      <c r="V242" s="64"/>
      <c r="W242" s="65"/>
      <c r="X242" s="63"/>
      <c r="Y242" s="65"/>
      <c r="Z242" s="65"/>
      <c r="CH242" s="95" t="s">
        <v>62</v>
      </c>
      <c r="CI242" s="95" t="s">
        <v>548</v>
      </c>
      <c r="CJ242" s="96" t="s">
        <v>64</v>
      </c>
      <c r="CK242" s="97" t="s">
        <v>130</v>
      </c>
      <c r="CL242" s="97" t="s">
        <v>66</v>
      </c>
      <c r="CM242" s="97" t="s">
        <v>67</v>
      </c>
      <c r="CN242" s="96" t="s">
        <v>45</v>
      </c>
      <c r="CO242" s="96"/>
    </row>
    <row r="243" spans="1:93" ht="37.5" customHeight="1">
      <c r="A243" s="408"/>
      <c r="B243" s="417"/>
      <c r="C243" s="417"/>
      <c r="D243" s="417"/>
      <c r="E243" s="30"/>
      <c r="F243" s="22"/>
      <c r="G243" s="67"/>
      <c r="H243" s="55"/>
      <c r="I243" s="140"/>
      <c r="J243" s="56"/>
      <c r="K243" s="140"/>
      <c r="L243" s="69"/>
      <c r="M243" s="71"/>
      <c r="N243" s="408"/>
      <c r="O243" s="426"/>
      <c r="P243" s="59"/>
      <c r="Q243" s="423"/>
      <c r="R243" s="423"/>
      <c r="S243" s="423"/>
      <c r="T243" s="62"/>
      <c r="U243" s="63"/>
      <c r="V243" s="64"/>
      <c r="W243" s="65"/>
      <c r="X243" s="63"/>
      <c r="Y243" s="65"/>
      <c r="Z243" s="65"/>
      <c r="CH243" s="95" t="s">
        <v>62</v>
      </c>
      <c r="CI243" s="95" t="s">
        <v>549</v>
      </c>
      <c r="CJ243" s="96" t="s">
        <v>64</v>
      </c>
      <c r="CK243" s="97" t="s">
        <v>130</v>
      </c>
      <c r="CL243" s="97" t="s">
        <v>66</v>
      </c>
      <c r="CM243" s="97" t="s">
        <v>67</v>
      </c>
      <c r="CN243" s="96" t="s">
        <v>45</v>
      </c>
      <c r="CO243" s="96"/>
    </row>
    <row r="244" spans="1:93" ht="27" customHeight="1">
      <c r="A244" s="30">
        <f>A242+1</f>
        <v>169</v>
      </c>
      <c r="B244" s="71" t="s">
        <v>550</v>
      </c>
      <c r="C244" s="169" t="s">
        <v>48</v>
      </c>
      <c r="D244" s="52" t="s">
        <v>406</v>
      </c>
      <c r="E244" s="30" t="s">
        <v>329</v>
      </c>
      <c r="F244" s="22" t="s">
        <v>50</v>
      </c>
      <c r="G244" s="67">
        <v>155</v>
      </c>
      <c r="H244" s="55">
        <v>1.121</v>
      </c>
      <c r="I244" s="140"/>
      <c r="J244" s="56"/>
      <c r="K244" s="140"/>
      <c r="L244" s="69"/>
      <c r="M244" s="71">
        <v>7.2</v>
      </c>
      <c r="N244" s="71">
        <v>2</v>
      </c>
      <c r="O244" s="60">
        <v>310</v>
      </c>
      <c r="P244" s="59">
        <f>303+30</f>
        <v>333</v>
      </c>
      <c r="Q244" s="71"/>
      <c r="R244" s="71"/>
      <c r="S244" s="72"/>
      <c r="T244" s="62"/>
      <c r="U244" s="63"/>
      <c r="V244" s="64"/>
      <c r="W244" s="65"/>
      <c r="X244" s="63"/>
      <c r="Y244" s="65"/>
      <c r="Z244" s="65"/>
      <c r="CH244" s="46" t="s">
        <v>42</v>
      </c>
      <c r="CI244" s="46" t="s">
        <v>551</v>
      </c>
      <c r="CJ244" s="48" t="s">
        <v>43</v>
      </c>
      <c r="CK244" s="46" t="s">
        <v>402</v>
      </c>
      <c r="CL244" s="46" t="s">
        <v>44</v>
      </c>
      <c r="CM244" s="47" t="s">
        <v>45</v>
      </c>
      <c r="CN244" s="47" t="s">
        <v>45</v>
      </c>
      <c r="CO244" s="46" t="s">
        <v>42</v>
      </c>
    </row>
    <row r="245" spans="1:93" ht="27" customHeight="1">
      <c r="A245" s="30">
        <f>A244+1</f>
        <v>170</v>
      </c>
      <c r="B245" s="71" t="s">
        <v>552</v>
      </c>
      <c r="C245" s="169" t="s">
        <v>110</v>
      </c>
      <c r="D245" s="52" t="s">
        <v>503</v>
      </c>
      <c r="E245" s="30" t="s">
        <v>329</v>
      </c>
      <c r="F245" s="22" t="s">
        <v>50</v>
      </c>
      <c r="G245" s="67">
        <v>290</v>
      </c>
      <c r="H245" s="55">
        <v>3.619</v>
      </c>
      <c r="I245" s="140"/>
      <c r="J245" s="56"/>
      <c r="K245" s="140"/>
      <c r="L245" s="69"/>
      <c r="M245" s="71">
        <v>11.2</v>
      </c>
      <c r="N245" s="71">
        <v>2</v>
      </c>
      <c r="O245" s="60">
        <v>580</v>
      </c>
      <c r="P245" s="59">
        <f>710+383</f>
        <v>1093</v>
      </c>
      <c r="Q245" s="71"/>
      <c r="R245" s="71"/>
      <c r="S245" s="72"/>
      <c r="T245" s="62"/>
      <c r="U245" s="63"/>
      <c r="V245" s="64"/>
      <c r="W245" s="65"/>
      <c r="X245" s="63"/>
      <c r="Y245" s="65"/>
      <c r="Z245" s="65"/>
      <c r="CH245" s="46" t="s">
        <v>52</v>
      </c>
      <c r="CI245" s="46"/>
      <c r="CJ245" s="46"/>
      <c r="CK245" s="46"/>
      <c r="CL245" s="46"/>
      <c r="CM245" s="46"/>
      <c r="CN245" s="46"/>
      <c r="CO245" s="46"/>
    </row>
    <row r="246" spans="1:93" ht="40.5" customHeight="1">
      <c r="A246" s="30">
        <f>A245+1</f>
        <v>171</v>
      </c>
      <c r="B246" s="71" t="s">
        <v>553</v>
      </c>
      <c r="C246" s="190" t="s">
        <v>144</v>
      </c>
      <c r="D246" s="52" t="s">
        <v>111</v>
      </c>
      <c r="E246" s="30" t="s">
        <v>329</v>
      </c>
      <c r="F246" s="22" t="s">
        <v>50</v>
      </c>
      <c r="G246" s="67">
        <v>178</v>
      </c>
      <c r="H246" s="55">
        <v>1.814</v>
      </c>
      <c r="I246" s="140"/>
      <c r="J246" s="56"/>
      <c r="K246" s="140"/>
      <c r="L246" s="69"/>
      <c r="M246" s="71">
        <v>10.2</v>
      </c>
      <c r="N246" s="71">
        <v>2</v>
      </c>
      <c r="O246" s="60">
        <v>356</v>
      </c>
      <c r="P246" s="59">
        <f>41+378</f>
        <v>419</v>
      </c>
      <c r="Q246" s="71"/>
      <c r="R246" s="71"/>
      <c r="S246" s="72"/>
      <c r="T246" s="62"/>
      <c r="U246" s="63"/>
      <c r="V246" s="64"/>
      <c r="W246" s="65"/>
      <c r="X246" s="63"/>
      <c r="Y246" s="65"/>
      <c r="Z246" s="65"/>
      <c r="CH246" s="46" t="s">
        <v>42</v>
      </c>
      <c r="CI246" s="190" t="s">
        <v>554</v>
      </c>
      <c r="CJ246" s="48" t="s">
        <v>43</v>
      </c>
      <c r="CK246" s="97" t="s">
        <v>85</v>
      </c>
      <c r="CL246" s="46" t="s">
        <v>44</v>
      </c>
      <c r="CM246" s="46" t="s">
        <v>45</v>
      </c>
      <c r="CN246" s="46" t="s">
        <v>45</v>
      </c>
      <c r="CO246" s="46" t="s">
        <v>42</v>
      </c>
    </row>
    <row r="247" spans="1:93" s="106" customFormat="1" ht="55.5" customHeight="1">
      <c r="A247" s="408">
        <f>A246+1</f>
        <v>172</v>
      </c>
      <c r="B247" s="431" t="s">
        <v>555</v>
      </c>
      <c r="C247" s="417" t="s">
        <v>465</v>
      </c>
      <c r="D247" s="417" t="s">
        <v>82</v>
      </c>
      <c r="E247" s="30" t="s">
        <v>329</v>
      </c>
      <c r="F247" s="22" t="s">
        <v>50</v>
      </c>
      <c r="G247" s="410">
        <v>516</v>
      </c>
      <c r="H247" s="418">
        <v>3.682</v>
      </c>
      <c r="I247" s="140"/>
      <c r="J247" s="56"/>
      <c r="K247" s="140"/>
      <c r="L247" s="69"/>
      <c r="M247" s="408">
        <v>7.2</v>
      </c>
      <c r="N247" s="408">
        <v>2</v>
      </c>
      <c r="O247" s="426">
        <v>1032</v>
      </c>
      <c r="P247" s="59">
        <f>933+523</f>
        <v>1456</v>
      </c>
      <c r="Q247" s="423"/>
      <c r="R247" s="423"/>
      <c r="S247" s="423"/>
      <c r="T247" s="102"/>
      <c r="U247" s="103"/>
      <c r="V247" s="104"/>
      <c r="W247" s="105"/>
      <c r="X247" s="103"/>
      <c r="Y247" s="105"/>
      <c r="Z247" s="105"/>
      <c r="CH247" s="149" t="s">
        <v>62</v>
      </c>
      <c r="CI247" s="186" t="s">
        <v>556</v>
      </c>
      <c r="CJ247" s="107" t="s">
        <v>64</v>
      </c>
      <c r="CK247" s="97" t="s">
        <v>72</v>
      </c>
      <c r="CL247" s="97" t="s">
        <v>66</v>
      </c>
      <c r="CM247" s="97" t="s">
        <v>67</v>
      </c>
      <c r="CN247" s="96" t="s">
        <v>45</v>
      </c>
      <c r="CO247" s="96"/>
    </row>
    <row r="248" spans="1:93" s="106" customFormat="1" ht="55.5" customHeight="1">
      <c r="A248" s="408"/>
      <c r="B248" s="431"/>
      <c r="C248" s="417"/>
      <c r="D248" s="417"/>
      <c r="E248" s="30"/>
      <c r="F248" s="22"/>
      <c r="G248" s="410"/>
      <c r="H248" s="418"/>
      <c r="I248" s="140"/>
      <c r="J248" s="56"/>
      <c r="K248" s="140"/>
      <c r="L248" s="69"/>
      <c r="M248" s="408"/>
      <c r="N248" s="408"/>
      <c r="O248" s="426"/>
      <c r="P248" s="59"/>
      <c r="Q248" s="423"/>
      <c r="R248" s="423"/>
      <c r="S248" s="423"/>
      <c r="T248" s="102"/>
      <c r="U248" s="103"/>
      <c r="V248" s="104"/>
      <c r="W248" s="105"/>
      <c r="X248" s="103"/>
      <c r="Y248" s="105"/>
      <c r="Z248" s="105"/>
      <c r="CH248" s="95" t="s">
        <v>87</v>
      </c>
      <c r="CI248" s="186" t="s">
        <v>557</v>
      </c>
      <c r="CJ248" s="96" t="s">
        <v>71</v>
      </c>
      <c r="CK248" s="97" t="s">
        <v>75</v>
      </c>
      <c r="CL248" s="97" t="s">
        <v>66</v>
      </c>
      <c r="CM248" s="97" t="s">
        <v>45</v>
      </c>
      <c r="CN248" s="96" t="s">
        <v>45</v>
      </c>
      <c r="CO248" s="96" t="s">
        <v>90</v>
      </c>
    </row>
    <row r="249" spans="1:93" ht="45" customHeight="1">
      <c r="A249" s="30">
        <f>A247+1</f>
        <v>173</v>
      </c>
      <c r="B249" s="71" t="s">
        <v>558</v>
      </c>
      <c r="C249" s="187" t="s">
        <v>559</v>
      </c>
      <c r="D249" s="52" t="s">
        <v>82</v>
      </c>
      <c r="E249" s="30" t="s">
        <v>329</v>
      </c>
      <c r="F249" s="22" t="s">
        <v>50</v>
      </c>
      <c r="G249" s="67">
        <v>546</v>
      </c>
      <c r="H249" s="55">
        <v>3.684</v>
      </c>
      <c r="I249" s="68"/>
      <c r="J249" s="56"/>
      <c r="K249" s="68"/>
      <c r="L249" s="69"/>
      <c r="M249" s="71">
        <v>6.7</v>
      </c>
      <c r="N249" s="71">
        <v>2</v>
      </c>
      <c r="O249" s="60">
        <v>1092</v>
      </c>
      <c r="P249" s="59">
        <f>120+1292</f>
        <v>1412</v>
      </c>
      <c r="Q249" s="71"/>
      <c r="R249" s="71"/>
      <c r="S249" s="72"/>
      <c r="T249" s="62"/>
      <c r="U249" s="63"/>
      <c r="V249" s="64"/>
      <c r="W249" s="65"/>
      <c r="X249" s="63"/>
      <c r="Y249" s="65"/>
      <c r="Z249" s="65"/>
      <c r="CH249" s="95" t="s">
        <v>62</v>
      </c>
      <c r="CI249" s="95" t="s">
        <v>560</v>
      </c>
      <c r="CJ249" s="96" t="s">
        <v>64</v>
      </c>
      <c r="CK249" s="97" t="s">
        <v>176</v>
      </c>
      <c r="CL249" s="97" t="s">
        <v>66</v>
      </c>
      <c r="CM249" s="97" t="s">
        <v>67</v>
      </c>
      <c r="CN249" s="96" t="s">
        <v>45</v>
      </c>
      <c r="CO249" s="96"/>
    </row>
    <row r="250" spans="1:93" ht="66.75" customHeight="1">
      <c r="A250" s="408">
        <f>A249+1</f>
        <v>174</v>
      </c>
      <c r="B250" s="417" t="s">
        <v>561</v>
      </c>
      <c r="C250" s="417" t="s">
        <v>308</v>
      </c>
      <c r="D250" s="417" t="s">
        <v>195</v>
      </c>
      <c r="E250" s="30" t="s">
        <v>329</v>
      </c>
      <c r="F250" s="22" t="s">
        <v>50</v>
      </c>
      <c r="G250" s="410">
        <v>641</v>
      </c>
      <c r="H250" s="418">
        <v>4.698</v>
      </c>
      <c r="I250" s="68"/>
      <c r="J250" s="56"/>
      <c r="K250" s="68"/>
      <c r="L250" s="69"/>
      <c r="M250" s="427">
        <v>6.8</v>
      </c>
      <c r="N250" s="408">
        <v>2</v>
      </c>
      <c r="O250" s="426">
        <v>1282</v>
      </c>
      <c r="P250" s="59">
        <f>98+1425</f>
        <v>1523</v>
      </c>
      <c r="Q250" s="423"/>
      <c r="R250" s="423"/>
      <c r="S250" s="423"/>
      <c r="T250" s="62"/>
      <c r="U250" s="63"/>
      <c r="V250" s="64"/>
      <c r="W250" s="65"/>
      <c r="X250" s="63"/>
      <c r="Y250" s="65"/>
      <c r="Z250" s="65"/>
      <c r="CH250" s="95" t="s">
        <v>62</v>
      </c>
      <c r="CI250" s="95" t="s">
        <v>562</v>
      </c>
      <c r="CJ250" s="96" t="s">
        <v>64</v>
      </c>
      <c r="CK250" s="97" t="s">
        <v>130</v>
      </c>
      <c r="CL250" s="97" t="s">
        <v>66</v>
      </c>
      <c r="CM250" s="97" t="s">
        <v>67</v>
      </c>
      <c r="CN250" s="96" t="s">
        <v>45</v>
      </c>
      <c r="CO250" s="96"/>
    </row>
    <row r="251" spans="1:93" ht="66.75" customHeight="1">
      <c r="A251" s="408"/>
      <c r="B251" s="417"/>
      <c r="C251" s="417"/>
      <c r="D251" s="417"/>
      <c r="E251" s="30"/>
      <c r="F251" s="22"/>
      <c r="G251" s="410"/>
      <c r="H251" s="418"/>
      <c r="I251" s="68"/>
      <c r="J251" s="56"/>
      <c r="K251" s="68"/>
      <c r="L251" s="69"/>
      <c r="M251" s="427"/>
      <c r="N251" s="408"/>
      <c r="O251" s="426"/>
      <c r="P251" s="59"/>
      <c r="Q251" s="423"/>
      <c r="R251" s="423"/>
      <c r="S251" s="423"/>
      <c r="T251" s="62"/>
      <c r="U251" s="63"/>
      <c r="V251" s="64"/>
      <c r="W251" s="65"/>
      <c r="X251" s="63"/>
      <c r="Y251" s="65"/>
      <c r="Z251" s="65"/>
      <c r="CH251" s="95" t="s">
        <v>62</v>
      </c>
      <c r="CI251" s="95" t="s">
        <v>435</v>
      </c>
      <c r="CJ251" s="96" t="s">
        <v>71</v>
      </c>
      <c r="CK251" s="97" t="s">
        <v>130</v>
      </c>
      <c r="CL251" s="97" t="s">
        <v>66</v>
      </c>
      <c r="CM251" s="97" t="s">
        <v>67</v>
      </c>
      <c r="CN251" s="96" t="s">
        <v>45</v>
      </c>
      <c r="CO251" s="96"/>
    </row>
    <row r="252" spans="1:93" ht="66.75" customHeight="1">
      <c r="A252" s="408"/>
      <c r="B252" s="417"/>
      <c r="C252" s="417"/>
      <c r="D252" s="417"/>
      <c r="E252" s="30"/>
      <c r="F252" s="22"/>
      <c r="G252" s="410"/>
      <c r="H252" s="418"/>
      <c r="I252" s="68"/>
      <c r="J252" s="56"/>
      <c r="K252" s="68"/>
      <c r="L252" s="69"/>
      <c r="M252" s="427"/>
      <c r="N252" s="408"/>
      <c r="O252" s="426"/>
      <c r="P252" s="59"/>
      <c r="Q252" s="423"/>
      <c r="R252" s="423"/>
      <c r="S252" s="423"/>
      <c r="T252" s="62"/>
      <c r="U252" s="63"/>
      <c r="V252" s="64"/>
      <c r="W252" s="65"/>
      <c r="X252" s="63"/>
      <c r="Y252" s="65"/>
      <c r="Z252" s="65"/>
      <c r="CH252" s="95" t="s">
        <v>87</v>
      </c>
      <c r="CI252" s="95" t="s">
        <v>563</v>
      </c>
      <c r="CJ252" s="96" t="s">
        <v>71</v>
      </c>
      <c r="CK252" s="97" t="s">
        <v>65</v>
      </c>
      <c r="CL252" s="97" t="s">
        <v>66</v>
      </c>
      <c r="CM252" s="97" t="s">
        <v>45</v>
      </c>
      <c r="CN252" s="96" t="s">
        <v>45</v>
      </c>
      <c r="CO252" s="96" t="s">
        <v>90</v>
      </c>
    </row>
    <row r="253" spans="1:93" ht="27" customHeight="1">
      <c r="A253" s="30">
        <f>A250+1</f>
        <v>175</v>
      </c>
      <c r="B253" s="71" t="s">
        <v>564</v>
      </c>
      <c r="C253" s="169" t="s">
        <v>82</v>
      </c>
      <c r="D253" s="52" t="s">
        <v>465</v>
      </c>
      <c r="E253" s="30" t="s">
        <v>329</v>
      </c>
      <c r="F253" s="22" t="s">
        <v>50</v>
      </c>
      <c r="G253" s="67">
        <v>532</v>
      </c>
      <c r="H253" s="55">
        <v>3.979</v>
      </c>
      <c r="I253" s="140"/>
      <c r="J253" s="56"/>
      <c r="K253" s="140"/>
      <c r="L253" s="69"/>
      <c r="M253" s="71">
        <v>7.4</v>
      </c>
      <c r="N253" s="71">
        <v>2</v>
      </c>
      <c r="O253" s="60">
        <v>1064</v>
      </c>
      <c r="P253" s="59">
        <f>142+923</f>
        <v>1065</v>
      </c>
      <c r="Q253" s="71"/>
      <c r="R253" s="71"/>
      <c r="S253" s="72"/>
      <c r="T253" s="62"/>
      <c r="U253" s="63"/>
      <c r="V253" s="64"/>
      <c r="W253" s="65"/>
      <c r="X253" s="63"/>
      <c r="Y253" s="65"/>
      <c r="Z253" s="65"/>
      <c r="CH253" s="46" t="s">
        <v>42</v>
      </c>
      <c r="CI253" s="46" t="s">
        <v>565</v>
      </c>
      <c r="CJ253" s="48" t="s">
        <v>43</v>
      </c>
      <c r="CK253" s="46" t="s">
        <v>295</v>
      </c>
      <c r="CL253" s="46" t="s">
        <v>44</v>
      </c>
      <c r="CM253" s="47" t="s">
        <v>45</v>
      </c>
      <c r="CN253" s="47" t="s">
        <v>45</v>
      </c>
      <c r="CO253" s="46" t="s">
        <v>42</v>
      </c>
    </row>
    <row r="254" spans="1:93" ht="27" customHeight="1">
      <c r="A254" s="30">
        <f aca="true" t="shared" si="11" ref="A254:A259">A253+1</f>
        <v>176</v>
      </c>
      <c r="B254" s="71" t="s">
        <v>566</v>
      </c>
      <c r="C254" s="52" t="s">
        <v>567</v>
      </c>
      <c r="D254" s="169" t="s">
        <v>194</v>
      </c>
      <c r="E254" s="30" t="s">
        <v>329</v>
      </c>
      <c r="F254" s="22" t="s">
        <v>172</v>
      </c>
      <c r="G254" s="67">
        <v>110</v>
      </c>
      <c r="H254" s="55">
        <v>1.131</v>
      </c>
      <c r="I254" s="140"/>
      <c r="J254" s="56"/>
      <c r="K254" s="140"/>
      <c r="L254" s="69"/>
      <c r="M254" s="71">
        <v>10</v>
      </c>
      <c r="N254" s="71">
        <v>2</v>
      </c>
      <c r="O254" s="60">
        <v>220</v>
      </c>
      <c r="P254" s="59">
        <f>215+58</f>
        <v>273</v>
      </c>
      <c r="Q254" s="71"/>
      <c r="R254" s="71"/>
      <c r="S254" s="72"/>
      <c r="T254" s="62"/>
      <c r="U254" s="63"/>
      <c r="V254" s="64"/>
      <c r="W254" s="65"/>
      <c r="X254" s="63"/>
      <c r="Y254" s="65"/>
      <c r="Z254" s="65"/>
      <c r="CH254" s="46" t="s">
        <v>52</v>
      </c>
      <c r="CI254" s="46"/>
      <c r="CJ254" s="46"/>
      <c r="CK254" s="46"/>
      <c r="CL254" s="46"/>
      <c r="CM254" s="46"/>
      <c r="CN254" s="46"/>
      <c r="CO254" s="46"/>
    </row>
    <row r="255" spans="1:93" ht="27" customHeight="1">
      <c r="A255" s="30">
        <f t="shared" si="11"/>
        <v>177</v>
      </c>
      <c r="B255" s="71" t="s">
        <v>566</v>
      </c>
      <c r="C255" s="169" t="s">
        <v>568</v>
      </c>
      <c r="D255" s="169" t="s">
        <v>569</v>
      </c>
      <c r="E255" s="30" t="s">
        <v>329</v>
      </c>
      <c r="F255" s="22"/>
      <c r="G255" s="67">
        <v>67.7</v>
      </c>
      <c r="H255" s="55">
        <v>0.604</v>
      </c>
      <c r="I255" s="140"/>
      <c r="J255" s="56"/>
      <c r="K255" s="140"/>
      <c r="L255" s="69"/>
      <c r="M255" s="206">
        <f>H255/G255*1000</f>
        <v>8.9</v>
      </c>
      <c r="N255" s="71">
        <v>2</v>
      </c>
      <c r="O255" s="60">
        <f>N255*G255</f>
        <v>135</v>
      </c>
      <c r="P255" s="59"/>
      <c r="Q255" s="71"/>
      <c r="R255" s="71"/>
      <c r="S255" s="72"/>
      <c r="T255" s="62"/>
      <c r="U255" s="63"/>
      <c r="V255" s="64"/>
      <c r="W255" s="65"/>
      <c r="X255" s="63"/>
      <c r="Y255" s="65"/>
      <c r="Z255" s="65"/>
      <c r="CH255" s="46" t="s">
        <v>52</v>
      </c>
      <c r="CI255" s="46"/>
      <c r="CJ255" s="46"/>
      <c r="CK255" s="46"/>
      <c r="CL255" s="46"/>
      <c r="CM255" s="46"/>
      <c r="CN255" s="46"/>
      <c r="CO255" s="46"/>
    </row>
    <row r="256" spans="1:93" ht="27" customHeight="1">
      <c r="A256" s="30">
        <f t="shared" si="11"/>
        <v>178</v>
      </c>
      <c r="B256" s="71" t="s">
        <v>570</v>
      </c>
      <c r="C256" s="169" t="s">
        <v>465</v>
      </c>
      <c r="D256" s="52" t="s">
        <v>571</v>
      </c>
      <c r="E256" s="30" t="s">
        <v>329</v>
      </c>
      <c r="F256" s="22" t="s">
        <v>50</v>
      </c>
      <c r="G256" s="67">
        <v>280</v>
      </c>
      <c r="H256" s="55">
        <v>2.844</v>
      </c>
      <c r="I256" s="140"/>
      <c r="J256" s="56">
        <v>0.154</v>
      </c>
      <c r="K256" s="140"/>
      <c r="L256" s="69"/>
      <c r="M256" s="70">
        <v>9.7</v>
      </c>
      <c r="N256" s="71">
        <v>2</v>
      </c>
      <c r="O256" s="60" t="s">
        <v>572</v>
      </c>
      <c r="P256" s="59">
        <f>109+784</f>
        <v>893</v>
      </c>
      <c r="Q256" s="71"/>
      <c r="R256" s="71"/>
      <c r="S256" s="72"/>
      <c r="T256" s="62"/>
      <c r="U256" s="63"/>
      <c r="V256" s="64"/>
      <c r="W256" s="65"/>
      <c r="X256" s="63"/>
      <c r="Y256" s="65"/>
      <c r="Z256" s="65"/>
      <c r="CH256" s="46" t="s">
        <v>42</v>
      </c>
      <c r="CI256" s="46" t="s">
        <v>573</v>
      </c>
      <c r="CJ256" s="48" t="s">
        <v>43</v>
      </c>
      <c r="CK256" s="46" t="s">
        <v>356</v>
      </c>
      <c r="CL256" s="46" t="s">
        <v>44</v>
      </c>
      <c r="CM256" s="47" t="s">
        <v>45</v>
      </c>
      <c r="CN256" s="47" t="s">
        <v>45</v>
      </c>
      <c r="CO256" s="46" t="s">
        <v>42</v>
      </c>
    </row>
    <row r="257" spans="1:93" ht="27" customHeight="1">
      <c r="A257" s="30">
        <f t="shared" si="11"/>
        <v>179</v>
      </c>
      <c r="B257" s="71" t="s">
        <v>574</v>
      </c>
      <c r="C257" s="169" t="s">
        <v>47</v>
      </c>
      <c r="D257" s="52" t="s">
        <v>575</v>
      </c>
      <c r="E257" s="30" t="s">
        <v>329</v>
      </c>
      <c r="F257" s="22" t="s">
        <v>50</v>
      </c>
      <c r="G257" s="67">
        <v>248</v>
      </c>
      <c r="H257" s="55">
        <v>2.245</v>
      </c>
      <c r="I257" s="140"/>
      <c r="J257" s="56"/>
      <c r="K257" s="140"/>
      <c r="L257" s="69"/>
      <c r="M257" s="71">
        <v>9.2</v>
      </c>
      <c r="N257" s="71">
        <v>2</v>
      </c>
      <c r="O257" s="60">
        <v>496</v>
      </c>
      <c r="P257" s="59">
        <f>36+474</f>
        <v>510</v>
      </c>
      <c r="Q257" s="71"/>
      <c r="R257" s="71"/>
      <c r="S257" s="72"/>
      <c r="T257" s="62"/>
      <c r="U257" s="63"/>
      <c r="V257" s="64"/>
      <c r="W257" s="65"/>
      <c r="X257" s="63"/>
      <c r="Y257" s="65"/>
      <c r="Z257" s="65"/>
      <c r="CH257" s="46" t="s">
        <v>42</v>
      </c>
      <c r="CI257" s="46" t="s">
        <v>576</v>
      </c>
      <c r="CJ257" s="48" t="s">
        <v>43</v>
      </c>
      <c r="CK257" s="46" t="s">
        <v>453</v>
      </c>
      <c r="CL257" s="46" t="s">
        <v>44</v>
      </c>
      <c r="CM257" s="47" t="s">
        <v>45</v>
      </c>
      <c r="CN257" s="47" t="s">
        <v>45</v>
      </c>
      <c r="CO257" s="46" t="s">
        <v>42</v>
      </c>
    </row>
    <row r="258" spans="1:93" ht="27" customHeight="1">
      <c r="A258" s="30">
        <f t="shared" si="11"/>
        <v>180</v>
      </c>
      <c r="B258" s="71" t="s">
        <v>577</v>
      </c>
      <c r="C258" s="169" t="s">
        <v>578</v>
      </c>
      <c r="D258" s="52" t="s">
        <v>405</v>
      </c>
      <c r="E258" s="30" t="s">
        <v>329</v>
      </c>
      <c r="F258" s="22" t="s">
        <v>172</v>
      </c>
      <c r="G258" s="67">
        <v>44</v>
      </c>
      <c r="H258" s="55">
        <v>0.183</v>
      </c>
      <c r="I258" s="140"/>
      <c r="J258" s="56"/>
      <c r="K258" s="140"/>
      <c r="L258" s="69"/>
      <c r="M258" s="67">
        <v>4.2</v>
      </c>
      <c r="N258" s="71">
        <v>2</v>
      </c>
      <c r="O258" s="60">
        <v>88</v>
      </c>
      <c r="P258" s="59">
        <v>95</v>
      </c>
      <c r="Q258" s="71"/>
      <c r="R258" s="71"/>
      <c r="S258" s="72"/>
      <c r="T258" s="62"/>
      <c r="U258" s="63"/>
      <c r="V258" s="64"/>
      <c r="W258" s="65"/>
      <c r="X258" s="63"/>
      <c r="Y258" s="65"/>
      <c r="Z258" s="65"/>
      <c r="CH258" s="46" t="s">
        <v>42</v>
      </c>
      <c r="CI258" s="46" t="s">
        <v>579</v>
      </c>
      <c r="CJ258" s="48" t="s">
        <v>43</v>
      </c>
      <c r="CK258" s="46" t="s">
        <v>453</v>
      </c>
      <c r="CL258" s="46" t="s">
        <v>44</v>
      </c>
      <c r="CM258" s="47" t="s">
        <v>45</v>
      </c>
      <c r="CN258" s="47" t="s">
        <v>45</v>
      </c>
      <c r="CO258" s="46" t="s">
        <v>42</v>
      </c>
    </row>
    <row r="259" spans="1:93" ht="27" customHeight="1">
      <c r="A259" s="30">
        <f t="shared" si="11"/>
        <v>181</v>
      </c>
      <c r="B259" s="71" t="s">
        <v>580</v>
      </c>
      <c r="C259" s="190" t="s">
        <v>581</v>
      </c>
      <c r="D259" s="195" t="s">
        <v>582</v>
      </c>
      <c r="E259" s="30" t="s">
        <v>329</v>
      </c>
      <c r="F259" s="22" t="s">
        <v>51</v>
      </c>
      <c r="G259" s="67">
        <v>714</v>
      </c>
      <c r="H259" s="55">
        <v>7.94</v>
      </c>
      <c r="I259" s="68"/>
      <c r="J259" s="56">
        <v>0.267</v>
      </c>
      <c r="K259" s="68"/>
      <c r="L259" s="69"/>
      <c r="M259" s="71">
        <v>8</v>
      </c>
      <c r="N259" s="71">
        <v>2</v>
      </c>
      <c r="O259" s="60">
        <v>1425</v>
      </c>
      <c r="P259" s="59">
        <f>652+773</f>
        <v>1425</v>
      </c>
      <c r="Q259" s="71">
        <v>0</v>
      </c>
      <c r="R259" s="71" t="s">
        <v>119</v>
      </c>
      <c r="S259" s="72"/>
      <c r="T259" s="62"/>
      <c r="U259" s="63"/>
      <c r="V259" s="64"/>
      <c r="W259" s="65"/>
      <c r="X259" s="63"/>
      <c r="Y259" s="65"/>
      <c r="Z259" s="65"/>
      <c r="CH259" s="46" t="s">
        <v>52</v>
      </c>
      <c r="CI259" s="46"/>
      <c r="CJ259" s="46"/>
      <c r="CK259" s="46"/>
      <c r="CL259" s="46"/>
      <c r="CM259" s="46"/>
      <c r="CN259" s="46"/>
      <c r="CO259" s="46"/>
    </row>
    <row r="260" spans="1:93" ht="57" customHeight="1">
      <c r="A260" s="30"/>
      <c r="B260" s="138" t="s">
        <v>583</v>
      </c>
      <c r="C260" s="52" t="s">
        <v>489</v>
      </c>
      <c r="D260" s="52" t="s">
        <v>144</v>
      </c>
      <c r="E260" s="127"/>
      <c r="F260" s="22"/>
      <c r="G260" s="67"/>
      <c r="H260" s="55"/>
      <c r="I260" s="68"/>
      <c r="J260" s="56"/>
      <c r="K260" s="68"/>
      <c r="L260" s="69"/>
      <c r="M260" s="71"/>
      <c r="N260" s="71"/>
      <c r="O260" s="60"/>
      <c r="P260" s="59"/>
      <c r="Q260" s="71"/>
      <c r="R260" s="71"/>
      <c r="S260" s="72"/>
      <c r="T260" s="62"/>
      <c r="U260" s="63"/>
      <c r="V260" s="64"/>
      <c r="W260" s="65"/>
      <c r="X260" s="63"/>
      <c r="Y260" s="65"/>
      <c r="Z260" s="65"/>
      <c r="CH260" s="46" t="s">
        <v>42</v>
      </c>
      <c r="CI260" s="52" t="s">
        <v>584</v>
      </c>
      <c r="CJ260" s="46" t="s">
        <v>192</v>
      </c>
      <c r="CK260" s="46" t="s">
        <v>65</v>
      </c>
      <c r="CL260" s="46" t="s">
        <v>44</v>
      </c>
      <c r="CM260" s="46" t="s">
        <v>45</v>
      </c>
      <c r="CN260" s="46" t="s">
        <v>45</v>
      </c>
      <c r="CO260" s="46" t="s">
        <v>42</v>
      </c>
    </row>
    <row r="261" spans="1:93" ht="50.25" customHeight="1">
      <c r="A261" s="30">
        <f>A259+1</f>
        <v>182</v>
      </c>
      <c r="B261" s="66" t="s">
        <v>583</v>
      </c>
      <c r="C261" s="52" t="s">
        <v>489</v>
      </c>
      <c r="D261" s="52" t="s">
        <v>144</v>
      </c>
      <c r="E261" s="127" t="s">
        <v>329</v>
      </c>
      <c r="F261" s="22" t="s">
        <v>50</v>
      </c>
      <c r="G261" s="67">
        <v>1085</v>
      </c>
      <c r="H261" s="55">
        <v>16.528</v>
      </c>
      <c r="I261" s="140"/>
      <c r="J261" s="56">
        <v>1.396</v>
      </c>
      <c r="K261" s="140"/>
      <c r="L261" s="69"/>
      <c r="M261" s="71">
        <v>15.4</v>
      </c>
      <c r="N261" s="71">
        <v>2</v>
      </c>
      <c r="O261" s="60">
        <v>2170</v>
      </c>
      <c r="P261" s="59">
        <f>1612+1111</f>
        <v>2723</v>
      </c>
      <c r="Q261" s="71"/>
      <c r="R261" s="71"/>
      <c r="S261" s="72"/>
      <c r="T261" s="62"/>
      <c r="U261" s="63"/>
      <c r="V261" s="64"/>
      <c r="W261" s="65"/>
      <c r="X261" s="63"/>
      <c r="Y261" s="65"/>
      <c r="Z261" s="65"/>
      <c r="CH261" s="46" t="s">
        <v>42</v>
      </c>
      <c r="CI261" s="52" t="s">
        <v>584</v>
      </c>
      <c r="CJ261" s="48" t="s">
        <v>585</v>
      </c>
      <c r="CK261" s="46" t="s">
        <v>130</v>
      </c>
      <c r="CL261" s="46" t="s">
        <v>44</v>
      </c>
      <c r="CM261" s="46" t="s">
        <v>45</v>
      </c>
      <c r="CN261" s="46" t="s">
        <v>45</v>
      </c>
      <c r="CO261" s="46" t="s">
        <v>42</v>
      </c>
    </row>
    <row r="262" spans="1:93" ht="31.5">
      <c r="A262" s="408">
        <f>A261+1</f>
        <v>183</v>
      </c>
      <c r="B262" s="417" t="s">
        <v>586</v>
      </c>
      <c r="C262" s="417" t="s">
        <v>465</v>
      </c>
      <c r="D262" s="417" t="s">
        <v>82</v>
      </c>
      <c r="E262" s="127" t="s">
        <v>329</v>
      </c>
      <c r="F262" s="22" t="s">
        <v>50</v>
      </c>
      <c r="G262" s="67">
        <v>534</v>
      </c>
      <c r="H262" s="55">
        <v>4.018</v>
      </c>
      <c r="I262" s="140"/>
      <c r="J262" s="56"/>
      <c r="K262" s="140"/>
      <c r="L262" s="69"/>
      <c r="M262" s="71">
        <v>7.2</v>
      </c>
      <c r="N262" s="71">
        <v>2</v>
      </c>
      <c r="O262" s="426">
        <v>1068</v>
      </c>
      <c r="P262" s="71">
        <f>154+1062</f>
        <v>1216</v>
      </c>
      <c r="Q262" s="423"/>
      <c r="R262" s="423"/>
      <c r="S262" s="423"/>
      <c r="T262" s="62"/>
      <c r="U262" s="63"/>
      <c r="V262" s="64"/>
      <c r="W262" s="65"/>
      <c r="X262" s="63"/>
      <c r="Y262" s="65"/>
      <c r="Z262" s="65"/>
      <c r="CH262" s="95" t="s">
        <v>62</v>
      </c>
      <c r="CI262" s="95" t="s">
        <v>587</v>
      </c>
      <c r="CJ262" s="96" t="s">
        <v>64</v>
      </c>
      <c r="CK262" s="97" t="s">
        <v>89</v>
      </c>
      <c r="CL262" s="97" t="s">
        <v>66</v>
      </c>
      <c r="CM262" s="97" t="s">
        <v>67</v>
      </c>
      <c r="CN262" s="96" t="s">
        <v>45</v>
      </c>
      <c r="CO262" s="96"/>
    </row>
    <row r="263" spans="1:93" ht="47.25">
      <c r="A263" s="408"/>
      <c r="B263" s="417"/>
      <c r="C263" s="417"/>
      <c r="D263" s="417"/>
      <c r="E263" s="127"/>
      <c r="F263" s="22"/>
      <c r="G263" s="67"/>
      <c r="H263" s="55"/>
      <c r="I263" s="140"/>
      <c r="J263" s="56"/>
      <c r="K263" s="140"/>
      <c r="L263" s="69"/>
      <c r="M263" s="71"/>
      <c r="N263" s="71"/>
      <c r="O263" s="426"/>
      <c r="P263" s="71"/>
      <c r="Q263" s="423"/>
      <c r="R263" s="423"/>
      <c r="S263" s="423"/>
      <c r="T263" s="62"/>
      <c r="U263" s="63"/>
      <c r="V263" s="64"/>
      <c r="W263" s="65"/>
      <c r="X263" s="63"/>
      <c r="Y263" s="65"/>
      <c r="Z263" s="65"/>
      <c r="CH263" s="95" t="s">
        <v>62</v>
      </c>
      <c r="CI263" s="95" t="s">
        <v>562</v>
      </c>
      <c r="CJ263" s="96" t="s">
        <v>71</v>
      </c>
      <c r="CK263" s="97" t="s">
        <v>89</v>
      </c>
      <c r="CL263" s="97" t="s">
        <v>66</v>
      </c>
      <c r="CM263" s="97" t="s">
        <v>67</v>
      </c>
      <c r="CN263" s="96" t="s">
        <v>45</v>
      </c>
      <c r="CO263" s="96"/>
    </row>
    <row r="264" spans="1:93" s="106" customFormat="1" ht="27" customHeight="1">
      <c r="A264" s="30">
        <f>A262+1</f>
        <v>184</v>
      </c>
      <c r="B264" s="66" t="s">
        <v>588</v>
      </c>
      <c r="C264" s="52" t="s">
        <v>350</v>
      </c>
      <c r="D264" s="52" t="s">
        <v>589</v>
      </c>
      <c r="E264" s="127" t="s">
        <v>329</v>
      </c>
      <c r="F264" s="22" t="s">
        <v>172</v>
      </c>
      <c r="G264" s="67">
        <v>211</v>
      </c>
      <c r="H264" s="55">
        <v>1.893</v>
      </c>
      <c r="I264" s="140"/>
      <c r="J264" s="56"/>
      <c r="K264" s="140"/>
      <c r="L264" s="69"/>
      <c r="M264" s="71">
        <v>9</v>
      </c>
      <c r="N264" s="71">
        <v>2</v>
      </c>
      <c r="O264" s="60">
        <v>422</v>
      </c>
      <c r="P264" s="71">
        <v>422</v>
      </c>
      <c r="Q264" s="71"/>
      <c r="R264" s="71"/>
      <c r="S264" s="72"/>
      <c r="T264" s="102"/>
      <c r="U264" s="103"/>
      <c r="V264" s="104"/>
      <c r="W264" s="105"/>
      <c r="X264" s="103"/>
      <c r="Y264" s="105"/>
      <c r="Z264" s="105"/>
      <c r="CH264" s="46" t="s">
        <v>42</v>
      </c>
      <c r="CI264" s="136" t="s">
        <v>590</v>
      </c>
      <c r="CJ264" s="48" t="s">
        <v>43</v>
      </c>
      <c r="CK264" s="136" t="s">
        <v>356</v>
      </c>
      <c r="CL264" s="46" t="s">
        <v>44</v>
      </c>
      <c r="CM264" s="47" t="s">
        <v>45</v>
      </c>
      <c r="CN264" s="47" t="s">
        <v>45</v>
      </c>
      <c r="CO264" s="46" t="s">
        <v>42</v>
      </c>
    </row>
    <row r="265" spans="1:93" ht="73.5" customHeight="1">
      <c r="A265" s="30">
        <f aca="true" t="shared" si="12" ref="A265:A271">A264+1</f>
        <v>185</v>
      </c>
      <c r="B265" s="235" t="s">
        <v>591</v>
      </c>
      <c r="C265" s="52" t="s">
        <v>81</v>
      </c>
      <c r="D265" s="52" t="s">
        <v>195</v>
      </c>
      <c r="E265" s="127" t="s">
        <v>329</v>
      </c>
      <c r="F265" s="30" t="s">
        <v>50</v>
      </c>
      <c r="G265" s="54">
        <v>446</v>
      </c>
      <c r="H265" s="55">
        <v>6.535</v>
      </c>
      <c r="I265" s="57"/>
      <c r="J265" s="56"/>
      <c r="K265" s="57"/>
      <c r="L265" s="58"/>
      <c r="M265" s="59">
        <v>15</v>
      </c>
      <c r="N265" s="59">
        <v>2</v>
      </c>
      <c r="O265" s="60">
        <v>892</v>
      </c>
      <c r="P265" s="59">
        <f>898+118</f>
        <v>1016</v>
      </c>
      <c r="Q265" s="59"/>
      <c r="R265" s="59"/>
      <c r="S265" s="61"/>
      <c r="T265" s="62"/>
      <c r="U265" s="65"/>
      <c r="V265" s="64"/>
      <c r="W265" s="65"/>
      <c r="X265" s="63"/>
      <c r="Y265" s="65"/>
      <c r="Z265" s="65"/>
      <c r="CH265" s="46" t="s">
        <v>42</v>
      </c>
      <c r="CI265" s="52" t="s">
        <v>592</v>
      </c>
      <c r="CJ265" s="48" t="s">
        <v>43</v>
      </c>
      <c r="CK265" s="46" t="s">
        <v>130</v>
      </c>
      <c r="CL265" s="46" t="s">
        <v>44</v>
      </c>
      <c r="CM265" s="46" t="s">
        <v>45</v>
      </c>
      <c r="CN265" s="46" t="s">
        <v>45</v>
      </c>
      <c r="CO265" s="46" t="s">
        <v>42</v>
      </c>
    </row>
    <row r="266" spans="1:93" ht="46.5" customHeight="1">
      <c r="A266" s="30">
        <f t="shared" si="12"/>
        <v>186</v>
      </c>
      <c r="B266" s="66" t="s">
        <v>593</v>
      </c>
      <c r="C266" s="52" t="s">
        <v>594</v>
      </c>
      <c r="D266" s="52" t="s">
        <v>595</v>
      </c>
      <c r="E266" s="127" t="s">
        <v>329</v>
      </c>
      <c r="F266" s="22" t="s">
        <v>172</v>
      </c>
      <c r="G266" s="67">
        <v>266</v>
      </c>
      <c r="H266" s="55">
        <v>2.425</v>
      </c>
      <c r="I266" s="140"/>
      <c r="J266" s="56"/>
      <c r="K266" s="140"/>
      <c r="L266" s="69"/>
      <c r="M266" s="71">
        <v>8.1</v>
      </c>
      <c r="N266" s="71">
        <v>2</v>
      </c>
      <c r="O266" s="60">
        <v>532</v>
      </c>
      <c r="P266" s="59">
        <f>540+456</f>
        <v>996</v>
      </c>
      <c r="Q266" s="71"/>
      <c r="R266" s="71"/>
      <c r="S266" s="72"/>
      <c r="T266" s="62"/>
      <c r="U266" s="63"/>
      <c r="V266" s="64"/>
      <c r="W266" s="65"/>
      <c r="X266" s="63"/>
      <c r="Y266" s="65"/>
      <c r="Z266" s="65"/>
      <c r="CH266" s="46" t="s">
        <v>52</v>
      </c>
      <c r="CI266" s="46"/>
      <c r="CJ266" s="46"/>
      <c r="CK266" s="46"/>
      <c r="CL266" s="46"/>
      <c r="CM266" s="46"/>
      <c r="CN266" s="46"/>
      <c r="CO266" s="46"/>
    </row>
    <row r="267" spans="1:93" ht="48.75" customHeight="1">
      <c r="A267" s="30">
        <f t="shared" si="12"/>
        <v>187</v>
      </c>
      <c r="B267" s="66" t="s">
        <v>596</v>
      </c>
      <c r="C267" s="52" t="s">
        <v>597</v>
      </c>
      <c r="D267" s="52" t="s">
        <v>598</v>
      </c>
      <c r="E267" s="127" t="s">
        <v>329</v>
      </c>
      <c r="F267" s="22" t="s">
        <v>50</v>
      </c>
      <c r="G267" s="67">
        <v>2691</v>
      </c>
      <c r="H267" s="55">
        <v>21.023</v>
      </c>
      <c r="I267" s="140"/>
      <c r="J267" s="56">
        <v>1.843</v>
      </c>
      <c r="K267" s="140"/>
      <c r="L267" s="69"/>
      <c r="M267" s="71">
        <v>11.5</v>
      </c>
      <c r="N267" s="71">
        <v>2</v>
      </c>
      <c r="O267" s="60">
        <v>4474</v>
      </c>
      <c r="P267" s="59">
        <f>3858+616</f>
        <v>4474</v>
      </c>
      <c r="Q267" s="71"/>
      <c r="R267" s="71"/>
      <c r="S267" s="72"/>
      <c r="T267" s="62"/>
      <c r="U267" s="63"/>
      <c r="V267" s="64"/>
      <c r="W267" s="65"/>
      <c r="X267" s="63"/>
      <c r="Y267" s="65"/>
      <c r="Z267" s="65"/>
      <c r="CH267" s="46" t="s">
        <v>52</v>
      </c>
      <c r="CI267" s="46"/>
      <c r="CJ267" s="46"/>
      <c r="CK267" s="46"/>
      <c r="CL267" s="46"/>
      <c r="CM267" s="46"/>
      <c r="CN267" s="46"/>
      <c r="CO267" s="46"/>
    </row>
    <row r="268" spans="1:93" s="167" customFormat="1" ht="27" customHeight="1">
      <c r="A268" s="30">
        <f t="shared" si="12"/>
        <v>188</v>
      </c>
      <c r="B268" s="66" t="s">
        <v>599</v>
      </c>
      <c r="C268" s="52" t="s">
        <v>424</v>
      </c>
      <c r="D268" s="52" t="s">
        <v>377</v>
      </c>
      <c r="E268" s="127" t="s">
        <v>329</v>
      </c>
      <c r="F268" s="22" t="s">
        <v>172</v>
      </c>
      <c r="G268" s="67">
        <v>107</v>
      </c>
      <c r="H268" s="55">
        <v>1.426</v>
      </c>
      <c r="I268" s="140"/>
      <c r="J268" s="56"/>
      <c r="K268" s="140"/>
      <c r="L268" s="69"/>
      <c r="M268" s="71">
        <v>6</v>
      </c>
      <c r="N268" s="71">
        <v>2</v>
      </c>
      <c r="O268" s="60">
        <v>214</v>
      </c>
      <c r="P268" s="59">
        <f>102+395</f>
        <v>497</v>
      </c>
      <c r="Q268" s="71"/>
      <c r="R268" s="71"/>
      <c r="S268" s="72"/>
      <c r="T268" s="166"/>
      <c r="U268" s="63"/>
      <c r="V268" s="64"/>
      <c r="W268" s="65"/>
      <c r="X268" s="63"/>
      <c r="Y268" s="65"/>
      <c r="Z268" s="65"/>
      <c r="CH268" s="46" t="s">
        <v>52</v>
      </c>
      <c r="CI268" s="168"/>
      <c r="CJ268" s="168"/>
      <c r="CK268" s="168"/>
      <c r="CL268" s="168"/>
      <c r="CM268" s="168"/>
      <c r="CN268" s="168"/>
      <c r="CO268" s="168"/>
    </row>
    <row r="269" spans="1:93" ht="54" customHeight="1">
      <c r="A269" s="30">
        <f t="shared" si="12"/>
        <v>189</v>
      </c>
      <c r="B269" s="66" t="s">
        <v>600</v>
      </c>
      <c r="C269" s="52" t="s">
        <v>601</v>
      </c>
      <c r="D269" s="52" t="s">
        <v>602</v>
      </c>
      <c r="E269" s="127" t="s">
        <v>329</v>
      </c>
      <c r="F269" s="22" t="s">
        <v>603</v>
      </c>
      <c r="G269" s="67">
        <v>442</v>
      </c>
      <c r="H269" s="55">
        <v>3.951</v>
      </c>
      <c r="I269" s="72"/>
      <c r="J269" s="61"/>
      <c r="K269" s="72">
        <v>3.951</v>
      </c>
      <c r="L269" s="232"/>
      <c r="M269" s="70">
        <v>8.9</v>
      </c>
      <c r="N269" s="183"/>
      <c r="O269" s="60">
        <v>0</v>
      </c>
      <c r="P269" s="60"/>
      <c r="Q269" s="183"/>
      <c r="R269" s="71"/>
      <c r="S269" s="72"/>
      <c r="T269" s="62"/>
      <c r="U269" s="63"/>
      <c r="V269" s="64"/>
      <c r="W269" s="65"/>
      <c r="X269" s="63"/>
      <c r="Y269" s="65"/>
      <c r="Z269" s="65"/>
      <c r="CH269" s="46" t="s">
        <v>52</v>
      </c>
      <c r="CI269" s="46"/>
      <c r="CJ269" s="46"/>
      <c r="CK269" s="46"/>
      <c r="CL269" s="46"/>
      <c r="CM269" s="46"/>
      <c r="CN269" s="46"/>
      <c r="CO269" s="46"/>
    </row>
    <row r="270" spans="1:93" ht="27" customHeight="1">
      <c r="A270" s="30">
        <f t="shared" si="12"/>
        <v>190</v>
      </c>
      <c r="B270" s="66" t="s">
        <v>604</v>
      </c>
      <c r="C270" s="52" t="s">
        <v>180</v>
      </c>
      <c r="D270" s="52" t="s">
        <v>82</v>
      </c>
      <c r="E270" s="127" t="s">
        <v>329</v>
      </c>
      <c r="F270" s="22" t="s">
        <v>50</v>
      </c>
      <c r="G270" s="67">
        <v>226</v>
      </c>
      <c r="H270" s="55">
        <v>1.437</v>
      </c>
      <c r="I270" s="140"/>
      <c r="J270" s="56"/>
      <c r="K270" s="140"/>
      <c r="L270" s="69"/>
      <c r="M270" s="71">
        <v>6.4</v>
      </c>
      <c r="N270" s="71">
        <v>2</v>
      </c>
      <c r="O270" s="60">
        <v>452</v>
      </c>
      <c r="P270" s="59">
        <f>21+431</f>
        <v>452</v>
      </c>
      <c r="Q270" s="71"/>
      <c r="R270" s="71"/>
      <c r="S270" s="72"/>
      <c r="T270" s="62"/>
      <c r="U270" s="63"/>
      <c r="V270" s="64"/>
      <c r="W270" s="65"/>
      <c r="X270" s="63"/>
      <c r="Y270" s="65"/>
      <c r="Z270" s="65"/>
      <c r="CH270" s="46" t="s">
        <v>459</v>
      </c>
      <c r="CI270" s="52" t="s">
        <v>605</v>
      </c>
      <c r="CJ270" s="48" t="s">
        <v>43</v>
      </c>
      <c r="CK270" s="46" t="s">
        <v>72</v>
      </c>
      <c r="CL270" s="46" t="s">
        <v>44</v>
      </c>
      <c r="CM270" s="46"/>
      <c r="CN270" s="46"/>
      <c r="CO270" s="46" t="s">
        <v>90</v>
      </c>
    </row>
    <row r="271" spans="1:93" ht="52.5" customHeight="1">
      <c r="A271" s="408">
        <f t="shared" si="12"/>
        <v>191</v>
      </c>
      <c r="B271" s="417" t="s">
        <v>606</v>
      </c>
      <c r="C271" s="417" t="s">
        <v>82</v>
      </c>
      <c r="D271" s="417" t="s">
        <v>81</v>
      </c>
      <c r="E271" s="127" t="s">
        <v>329</v>
      </c>
      <c r="F271" s="22" t="s">
        <v>51</v>
      </c>
      <c r="G271" s="410">
        <v>757</v>
      </c>
      <c r="H271" s="418">
        <v>10.321</v>
      </c>
      <c r="I271" s="68"/>
      <c r="J271" s="56">
        <v>0.014</v>
      </c>
      <c r="K271" s="68"/>
      <c r="L271" s="69"/>
      <c r="M271" s="408">
        <v>13.6</v>
      </c>
      <c r="N271" s="408">
        <v>2</v>
      </c>
      <c r="O271" s="426">
        <v>1514</v>
      </c>
      <c r="P271" s="59">
        <f>1378+668</f>
        <v>2046</v>
      </c>
      <c r="Q271" s="408">
        <v>0</v>
      </c>
      <c r="R271" s="408" t="s">
        <v>94</v>
      </c>
      <c r="S271" s="423"/>
      <c r="T271" s="62"/>
      <c r="U271" s="63"/>
      <c r="V271" s="64"/>
      <c r="W271" s="65"/>
      <c r="X271" s="63"/>
      <c r="Y271" s="65"/>
      <c r="Z271" s="65"/>
      <c r="CH271" s="95" t="s">
        <v>62</v>
      </c>
      <c r="CI271" s="95" t="s">
        <v>607</v>
      </c>
      <c r="CJ271" s="48" t="s">
        <v>43</v>
      </c>
      <c r="CK271" s="97" t="s">
        <v>85</v>
      </c>
      <c r="CL271" s="97" t="s">
        <v>66</v>
      </c>
      <c r="CM271" s="97" t="s">
        <v>67</v>
      </c>
      <c r="CN271" s="96" t="s">
        <v>45</v>
      </c>
      <c r="CO271" s="96"/>
    </row>
    <row r="272" spans="1:93" ht="47.25">
      <c r="A272" s="408"/>
      <c r="B272" s="417"/>
      <c r="C272" s="417"/>
      <c r="D272" s="417"/>
      <c r="E272" s="127"/>
      <c r="F272" s="22"/>
      <c r="G272" s="410"/>
      <c r="H272" s="418"/>
      <c r="I272" s="68"/>
      <c r="J272" s="56"/>
      <c r="K272" s="68"/>
      <c r="L272" s="69"/>
      <c r="M272" s="408"/>
      <c r="N272" s="408"/>
      <c r="O272" s="426"/>
      <c r="P272" s="59"/>
      <c r="Q272" s="408"/>
      <c r="R272" s="408"/>
      <c r="S272" s="423"/>
      <c r="T272" s="62"/>
      <c r="U272" s="63"/>
      <c r="V272" s="64"/>
      <c r="W272" s="65"/>
      <c r="X272" s="63"/>
      <c r="Y272" s="65"/>
      <c r="Z272" s="65"/>
      <c r="CH272" s="149" t="s">
        <v>87</v>
      </c>
      <c r="CI272" s="95" t="s">
        <v>433</v>
      </c>
      <c r="CJ272" s="96" t="s">
        <v>71</v>
      </c>
      <c r="CK272" s="97" t="s">
        <v>89</v>
      </c>
      <c r="CL272" s="97" t="s">
        <v>66</v>
      </c>
      <c r="CM272" s="97" t="s">
        <v>45</v>
      </c>
      <c r="CN272" s="96" t="s">
        <v>45</v>
      </c>
      <c r="CO272" s="96" t="s">
        <v>90</v>
      </c>
    </row>
    <row r="273" spans="1:93" ht="18.75">
      <c r="A273" s="30">
        <f>A271+1</f>
        <v>192</v>
      </c>
      <c r="B273" s="66" t="s">
        <v>608</v>
      </c>
      <c r="C273" s="52" t="s">
        <v>180</v>
      </c>
      <c r="D273" s="52" t="s">
        <v>609</v>
      </c>
      <c r="E273" s="127" t="s">
        <v>329</v>
      </c>
      <c r="F273" s="22" t="s">
        <v>172</v>
      </c>
      <c r="G273" s="67">
        <v>108</v>
      </c>
      <c r="H273" s="55">
        <v>0.895</v>
      </c>
      <c r="I273" s="140"/>
      <c r="J273" s="56"/>
      <c r="K273" s="140"/>
      <c r="L273" s="69"/>
      <c r="M273" s="71">
        <v>8.2</v>
      </c>
      <c r="N273" s="71">
        <v>2</v>
      </c>
      <c r="O273" s="60">
        <v>216</v>
      </c>
      <c r="P273" s="59">
        <v>217</v>
      </c>
      <c r="Q273" s="71"/>
      <c r="R273" s="71"/>
      <c r="S273" s="72"/>
      <c r="T273" s="62"/>
      <c r="U273" s="63"/>
      <c r="V273" s="64"/>
      <c r="W273" s="65"/>
      <c r="X273" s="63"/>
      <c r="Y273" s="65"/>
      <c r="Z273" s="65"/>
      <c r="CH273" s="46" t="s">
        <v>42</v>
      </c>
      <c r="CI273" s="46" t="s">
        <v>610</v>
      </c>
      <c r="CJ273" s="48" t="s">
        <v>43</v>
      </c>
      <c r="CK273" s="46" t="s">
        <v>286</v>
      </c>
      <c r="CL273" s="46" t="s">
        <v>44</v>
      </c>
      <c r="CM273" s="47" t="s">
        <v>45</v>
      </c>
      <c r="CN273" s="47" t="s">
        <v>45</v>
      </c>
      <c r="CO273" s="46" t="s">
        <v>42</v>
      </c>
    </row>
    <row r="274" spans="1:93" ht="51" customHeight="1">
      <c r="A274" s="30">
        <f>A273+1</f>
        <v>193</v>
      </c>
      <c r="B274" s="131" t="s">
        <v>611</v>
      </c>
      <c r="C274" s="52" t="s">
        <v>612</v>
      </c>
      <c r="D274" s="52" t="s">
        <v>613</v>
      </c>
      <c r="E274" s="127" t="s">
        <v>329</v>
      </c>
      <c r="F274" s="22" t="s">
        <v>51</v>
      </c>
      <c r="G274" s="67">
        <v>147</v>
      </c>
      <c r="H274" s="55">
        <v>2.242</v>
      </c>
      <c r="I274" s="68"/>
      <c r="J274" s="56"/>
      <c r="K274" s="68"/>
      <c r="L274" s="69"/>
      <c r="M274" s="71">
        <v>15.1</v>
      </c>
      <c r="N274" s="71">
        <v>2</v>
      </c>
      <c r="O274" s="60">
        <v>326</v>
      </c>
      <c r="P274" s="59">
        <f>302+24</f>
        <v>326</v>
      </c>
      <c r="Q274" s="71">
        <v>0</v>
      </c>
      <c r="R274" s="71"/>
      <c r="S274" s="72"/>
      <c r="T274" s="62"/>
      <c r="U274" s="63"/>
      <c r="V274" s="64"/>
      <c r="W274" s="65"/>
      <c r="X274" s="63"/>
      <c r="Y274" s="65"/>
      <c r="Z274" s="65"/>
      <c r="CH274" s="46" t="s">
        <v>42</v>
      </c>
      <c r="CI274" s="52" t="s">
        <v>614</v>
      </c>
      <c r="CJ274" s="48" t="s">
        <v>43</v>
      </c>
      <c r="CK274" s="46" t="s">
        <v>89</v>
      </c>
      <c r="CL274" s="46" t="s">
        <v>44</v>
      </c>
      <c r="CM274" s="46" t="s">
        <v>45</v>
      </c>
      <c r="CN274" s="46" t="s">
        <v>45</v>
      </c>
      <c r="CO274" s="46" t="s">
        <v>42</v>
      </c>
    </row>
    <row r="275" spans="1:93" ht="31.5">
      <c r="A275" s="429">
        <f>A274+1</f>
        <v>194</v>
      </c>
      <c r="B275" s="417" t="s">
        <v>615</v>
      </c>
      <c r="C275" s="417" t="s">
        <v>383</v>
      </c>
      <c r="D275" s="417" t="s">
        <v>184</v>
      </c>
      <c r="E275" s="408" t="s">
        <v>329</v>
      </c>
      <c r="F275" s="22" t="s">
        <v>51</v>
      </c>
      <c r="G275" s="410">
        <v>398</v>
      </c>
      <c r="H275" s="418">
        <v>5.157</v>
      </c>
      <c r="I275" s="68"/>
      <c r="J275" s="56">
        <v>0.413</v>
      </c>
      <c r="K275" s="68"/>
      <c r="L275" s="69"/>
      <c r="M275" s="408">
        <v>10.8</v>
      </c>
      <c r="N275" s="408">
        <v>2</v>
      </c>
      <c r="O275" s="426">
        <v>796</v>
      </c>
      <c r="P275" s="59">
        <f>409+687</f>
        <v>1096</v>
      </c>
      <c r="Q275" s="408">
        <v>0</v>
      </c>
      <c r="R275" s="423"/>
      <c r="S275" s="423"/>
      <c r="T275" s="62"/>
      <c r="U275" s="63"/>
      <c r="V275" s="64"/>
      <c r="W275" s="65"/>
      <c r="X275" s="63"/>
      <c r="Y275" s="65"/>
      <c r="Z275" s="65"/>
      <c r="CH275" s="95" t="s">
        <v>62</v>
      </c>
      <c r="CI275" s="95" t="s">
        <v>616</v>
      </c>
      <c r="CJ275" s="96" t="s">
        <v>64</v>
      </c>
      <c r="CK275" s="97" t="s">
        <v>89</v>
      </c>
      <c r="CL275" s="97" t="s">
        <v>66</v>
      </c>
      <c r="CM275" s="97" t="s">
        <v>67</v>
      </c>
      <c r="CO275" s="96"/>
    </row>
    <row r="276" spans="1:93" ht="31.5">
      <c r="A276" s="429"/>
      <c r="B276" s="417"/>
      <c r="C276" s="417"/>
      <c r="D276" s="417"/>
      <c r="E276" s="408"/>
      <c r="F276" s="22"/>
      <c r="G276" s="410"/>
      <c r="H276" s="418"/>
      <c r="I276" s="68"/>
      <c r="J276" s="56"/>
      <c r="K276" s="68"/>
      <c r="L276" s="69"/>
      <c r="M276" s="408"/>
      <c r="N276" s="408"/>
      <c r="O276" s="426"/>
      <c r="P276" s="59"/>
      <c r="Q276" s="408"/>
      <c r="R276" s="423"/>
      <c r="S276" s="423"/>
      <c r="T276" s="62"/>
      <c r="U276" s="63"/>
      <c r="V276" s="64"/>
      <c r="W276" s="65"/>
      <c r="X276" s="63"/>
      <c r="Y276" s="65"/>
      <c r="Z276" s="65"/>
      <c r="CH276" s="95" t="s">
        <v>62</v>
      </c>
      <c r="CI276" s="95" t="s">
        <v>617</v>
      </c>
      <c r="CJ276" s="96" t="s">
        <v>64</v>
      </c>
      <c r="CK276" s="97" t="s">
        <v>89</v>
      </c>
      <c r="CL276" s="97" t="s">
        <v>66</v>
      </c>
      <c r="CM276" s="97" t="s">
        <v>67</v>
      </c>
      <c r="CO276" s="96"/>
    </row>
    <row r="277" spans="1:93" ht="31.5">
      <c r="A277" s="429"/>
      <c r="B277" s="417"/>
      <c r="C277" s="417"/>
      <c r="D277" s="417"/>
      <c r="E277" s="408"/>
      <c r="F277" s="22"/>
      <c r="G277" s="410"/>
      <c r="H277" s="418"/>
      <c r="I277" s="68"/>
      <c r="J277" s="56"/>
      <c r="K277" s="68"/>
      <c r="L277" s="69"/>
      <c r="M277" s="408"/>
      <c r="N277" s="408"/>
      <c r="O277" s="426"/>
      <c r="P277" s="59"/>
      <c r="Q277" s="408"/>
      <c r="R277" s="423"/>
      <c r="S277" s="423"/>
      <c r="T277" s="62"/>
      <c r="U277" s="63"/>
      <c r="V277" s="64"/>
      <c r="W277" s="65"/>
      <c r="X277" s="63"/>
      <c r="Y277" s="65"/>
      <c r="Z277" s="65"/>
      <c r="CH277" s="149" t="s">
        <v>62</v>
      </c>
      <c r="CI277" s="95" t="s">
        <v>618</v>
      </c>
      <c r="CJ277" s="96" t="s">
        <v>71</v>
      </c>
      <c r="CK277" s="97" t="s">
        <v>89</v>
      </c>
      <c r="CL277" s="97" t="s">
        <v>66</v>
      </c>
      <c r="CM277" s="97" t="s">
        <v>67</v>
      </c>
      <c r="CO277" s="96"/>
    </row>
    <row r="278" spans="1:98" ht="49.5" customHeight="1">
      <c r="A278" s="30">
        <f>A275+1</f>
        <v>195</v>
      </c>
      <c r="B278" s="235" t="s">
        <v>619</v>
      </c>
      <c r="C278" s="52" t="s">
        <v>81</v>
      </c>
      <c r="D278" s="52" t="s">
        <v>60</v>
      </c>
      <c r="E278" s="127" t="s">
        <v>329</v>
      </c>
      <c r="F278" s="22" t="s">
        <v>50</v>
      </c>
      <c r="G278" s="67">
        <v>220</v>
      </c>
      <c r="H278" s="55">
        <v>1.869</v>
      </c>
      <c r="I278" s="140"/>
      <c r="J278" s="56"/>
      <c r="K278" s="140"/>
      <c r="L278" s="69"/>
      <c r="M278" s="71">
        <v>8.3</v>
      </c>
      <c r="N278" s="71">
        <v>2</v>
      </c>
      <c r="O278" s="60">
        <v>440</v>
      </c>
      <c r="P278" s="59">
        <f>104+361</f>
        <v>465</v>
      </c>
      <c r="Q278" s="71"/>
      <c r="R278" s="71"/>
      <c r="S278" s="72"/>
      <c r="T278" s="62"/>
      <c r="U278" s="63"/>
      <c r="V278" s="64"/>
      <c r="W278" s="65"/>
      <c r="X278" s="63"/>
      <c r="Y278" s="65"/>
      <c r="Z278" s="65"/>
      <c r="CH278" s="46" t="s">
        <v>42</v>
      </c>
      <c r="CI278" s="52" t="s">
        <v>620</v>
      </c>
      <c r="CJ278" s="48" t="s">
        <v>43</v>
      </c>
      <c r="CK278" s="46" t="s">
        <v>89</v>
      </c>
      <c r="CL278" s="46" t="s">
        <v>44</v>
      </c>
      <c r="CM278" s="46" t="s">
        <v>45</v>
      </c>
      <c r="CN278" s="46" t="s">
        <v>45</v>
      </c>
      <c r="CO278" s="46" t="s">
        <v>42</v>
      </c>
      <c r="CT278" s="46" t="s">
        <v>44</v>
      </c>
    </row>
    <row r="279" spans="1:93" ht="27" customHeight="1">
      <c r="A279" s="30">
        <f>A278+1</f>
        <v>196</v>
      </c>
      <c r="B279" s="66" t="s">
        <v>621</v>
      </c>
      <c r="C279" s="52" t="s">
        <v>518</v>
      </c>
      <c r="D279" s="52" t="s">
        <v>622</v>
      </c>
      <c r="E279" s="127" t="s">
        <v>329</v>
      </c>
      <c r="F279" s="22" t="s">
        <v>50</v>
      </c>
      <c r="G279" s="67">
        <v>72</v>
      </c>
      <c r="H279" s="55">
        <v>0.555</v>
      </c>
      <c r="I279" s="140"/>
      <c r="J279" s="56">
        <v>0.139</v>
      </c>
      <c r="K279" s="140"/>
      <c r="L279" s="69"/>
      <c r="M279" s="71">
        <v>4.3</v>
      </c>
      <c r="N279" s="71">
        <v>2</v>
      </c>
      <c r="O279" s="60">
        <v>144</v>
      </c>
      <c r="P279" s="59">
        <f>206</f>
        <v>206</v>
      </c>
      <c r="Q279" s="71"/>
      <c r="R279" s="71"/>
      <c r="S279" s="72">
        <v>0.416</v>
      </c>
      <c r="T279" s="62"/>
      <c r="U279" s="63"/>
      <c r="V279" s="64"/>
      <c r="W279" s="63"/>
      <c r="X279" s="63"/>
      <c r="Y279" s="65"/>
      <c r="Z279" s="65"/>
      <c r="CH279" s="46" t="s">
        <v>52</v>
      </c>
      <c r="CI279" s="46"/>
      <c r="CJ279" s="46"/>
      <c r="CK279" s="46"/>
      <c r="CL279" s="46"/>
      <c r="CM279" s="46"/>
      <c r="CN279" s="96" t="s">
        <v>45</v>
      </c>
      <c r="CO279" s="46"/>
    </row>
    <row r="280" spans="1:93" ht="27" customHeight="1">
      <c r="A280" s="30">
        <f>A279+1</f>
        <v>197</v>
      </c>
      <c r="B280" s="66" t="s">
        <v>623</v>
      </c>
      <c r="C280" s="52" t="s">
        <v>210</v>
      </c>
      <c r="D280" s="52" t="s">
        <v>380</v>
      </c>
      <c r="E280" s="127" t="s">
        <v>329</v>
      </c>
      <c r="F280" s="22"/>
      <c r="G280" s="67">
        <v>383.8</v>
      </c>
      <c r="H280" s="55">
        <v>3.069</v>
      </c>
      <c r="I280" s="140"/>
      <c r="J280" s="56"/>
      <c r="K280" s="140"/>
      <c r="L280" s="69"/>
      <c r="M280" s="67"/>
      <c r="N280" s="71">
        <v>2</v>
      </c>
      <c r="O280" s="60">
        <f>G280*N280</f>
        <v>768</v>
      </c>
      <c r="P280" s="59">
        <f>776+179</f>
        <v>955</v>
      </c>
      <c r="Q280" s="71"/>
      <c r="R280" s="71"/>
      <c r="S280" s="72"/>
      <c r="T280" s="62"/>
      <c r="U280" s="63"/>
      <c r="V280" s="64"/>
      <c r="W280" s="63"/>
      <c r="X280" s="63"/>
      <c r="Y280" s="65"/>
      <c r="Z280" s="65"/>
      <c r="CH280" s="46" t="s">
        <v>52</v>
      </c>
      <c r="CI280" s="46"/>
      <c r="CJ280" s="46"/>
      <c r="CK280" s="46"/>
      <c r="CL280" s="46"/>
      <c r="CM280" s="46"/>
      <c r="CN280" s="96" t="s">
        <v>45</v>
      </c>
      <c r="CO280" s="46"/>
    </row>
    <row r="281" spans="1:93" ht="40.5" customHeight="1">
      <c r="A281" s="30">
        <f>A280+1</f>
        <v>198</v>
      </c>
      <c r="B281" s="131" t="s">
        <v>624</v>
      </c>
      <c r="C281" s="52" t="s">
        <v>625</v>
      </c>
      <c r="D281" s="52" t="s">
        <v>626</v>
      </c>
      <c r="E281" s="127" t="s">
        <v>329</v>
      </c>
      <c r="F281" s="22" t="s">
        <v>51</v>
      </c>
      <c r="G281" s="67">
        <v>103</v>
      </c>
      <c r="H281" s="55">
        <v>1.072</v>
      </c>
      <c r="I281" s="68"/>
      <c r="J281" s="56"/>
      <c r="K281" s="68"/>
      <c r="L281" s="69"/>
      <c r="M281" s="71">
        <v>12.1</v>
      </c>
      <c r="N281" s="71">
        <v>2</v>
      </c>
      <c r="O281" s="60">
        <v>172</v>
      </c>
      <c r="P281" s="59">
        <f>155+17</f>
        <v>172</v>
      </c>
      <c r="Q281" s="71"/>
      <c r="R281" s="71"/>
      <c r="S281" s="72"/>
      <c r="T281" s="62"/>
      <c r="U281" s="63"/>
      <c r="V281" s="64"/>
      <c r="W281" s="65"/>
      <c r="X281" s="63"/>
      <c r="Y281" s="65"/>
      <c r="Z281" s="65"/>
      <c r="CH281" s="46" t="s">
        <v>52</v>
      </c>
      <c r="CI281" s="46"/>
      <c r="CJ281" s="46"/>
      <c r="CK281" s="46"/>
      <c r="CL281" s="46"/>
      <c r="CM281" s="46"/>
      <c r="CN281" s="96" t="s">
        <v>45</v>
      </c>
      <c r="CO281" s="46"/>
    </row>
    <row r="282" spans="1:93" ht="27" customHeight="1">
      <c r="A282" s="30">
        <f>A281+1</f>
        <v>199</v>
      </c>
      <c r="B282" s="191" t="s">
        <v>627</v>
      </c>
      <c r="C282" s="52" t="s">
        <v>147</v>
      </c>
      <c r="D282" s="52" t="s">
        <v>180</v>
      </c>
      <c r="E282" s="127" t="s">
        <v>329</v>
      </c>
      <c r="F282" s="22" t="s">
        <v>50</v>
      </c>
      <c r="G282" s="67">
        <v>605</v>
      </c>
      <c r="H282" s="55">
        <v>5.39</v>
      </c>
      <c r="I282" s="68"/>
      <c r="J282" s="56">
        <v>0.52</v>
      </c>
      <c r="K282" s="68"/>
      <c r="L282" s="69"/>
      <c r="M282" s="71">
        <v>7</v>
      </c>
      <c r="N282" s="71">
        <v>2</v>
      </c>
      <c r="O282" s="60">
        <v>1210</v>
      </c>
      <c r="P282" s="59">
        <f>872+730</f>
        <v>1602</v>
      </c>
      <c r="Q282" s="71"/>
      <c r="R282" s="71"/>
      <c r="S282" s="72"/>
      <c r="T282" s="62"/>
      <c r="U282" s="63"/>
      <c r="V282" s="64"/>
      <c r="W282" s="65"/>
      <c r="X282" s="63"/>
      <c r="Y282" s="65"/>
      <c r="Z282" s="65"/>
      <c r="CH282" s="46" t="s">
        <v>42</v>
      </c>
      <c r="CI282" s="46" t="s">
        <v>628</v>
      </c>
      <c r="CJ282" s="48" t="s">
        <v>43</v>
      </c>
      <c r="CK282" s="46" t="s">
        <v>295</v>
      </c>
      <c r="CL282" s="46" t="s">
        <v>44</v>
      </c>
      <c r="CM282" s="47" t="s">
        <v>45</v>
      </c>
      <c r="CN282" s="47" t="s">
        <v>45</v>
      </c>
      <c r="CO282" s="46" t="s">
        <v>42</v>
      </c>
    </row>
    <row r="283" spans="1:93" ht="31.5">
      <c r="A283" s="408">
        <f>A282+1</f>
        <v>200</v>
      </c>
      <c r="B283" s="408" t="s">
        <v>629</v>
      </c>
      <c r="C283" s="408" t="s">
        <v>82</v>
      </c>
      <c r="D283" s="408" t="s">
        <v>630</v>
      </c>
      <c r="E283" s="127" t="s">
        <v>329</v>
      </c>
      <c r="F283" s="22" t="s">
        <v>51</v>
      </c>
      <c r="G283" s="436">
        <v>1414</v>
      </c>
      <c r="H283" s="418">
        <v>17.383</v>
      </c>
      <c r="I283" s="68"/>
      <c r="J283" s="56"/>
      <c r="K283" s="68"/>
      <c r="L283" s="69"/>
      <c r="M283" s="408">
        <v>15.4</v>
      </c>
      <c r="N283" s="408">
        <v>2</v>
      </c>
      <c r="O283" s="426">
        <v>2828</v>
      </c>
      <c r="P283" s="59">
        <f>2903+165</f>
        <v>3068</v>
      </c>
      <c r="Q283" s="408">
        <v>0</v>
      </c>
      <c r="R283" s="423"/>
      <c r="S283" s="423"/>
      <c r="T283" s="62"/>
      <c r="U283" s="63"/>
      <c r="V283" s="64"/>
      <c r="W283" s="65"/>
      <c r="X283" s="63"/>
      <c r="Y283" s="65"/>
      <c r="Z283" s="65"/>
      <c r="CH283" s="95" t="s">
        <v>87</v>
      </c>
      <c r="CI283" s="150" t="s">
        <v>631</v>
      </c>
      <c r="CJ283" s="96" t="s">
        <v>64</v>
      </c>
      <c r="CK283" s="97" t="s">
        <v>75</v>
      </c>
      <c r="CL283" s="97" t="s">
        <v>264</v>
      </c>
      <c r="CM283" s="97" t="s">
        <v>45</v>
      </c>
      <c r="CN283" s="96" t="s">
        <v>45</v>
      </c>
      <c r="CO283" s="96" t="s">
        <v>90</v>
      </c>
    </row>
    <row r="284" spans="1:93" ht="31.5">
      <c r="A284" s="408"/>
      <c r="B284" s="408"/>
      <c r="C284" s="408"/>
      <c r="D284" s="408"/>
      <c r="E284" s="127"/>
      <c r="F284" s="22"/>
      <c r="G284" s="436"/>
      <c r="H284" s="418"/>
      <c r="I284" s="68"/>
      <c r="J284" s="56"/>
      <c r="K284" s="68"/>
      <c r="L284" s="69"/>
      <c r="M284" s="408"/>
      <c r="N284" s="408"/>
      <c r="O284" s="426"/>
      <c r="P284" s="59"/>
      <c r="Q284" s="408"/>
      <c r="R284" s="423"/>
      <c r="S284" s="423"/>
      <c r="T284" s="62"/>
      <c r="U284" s="63"/>
      <c r="V284" s="64"/>
      <c r="W284" s="65"/>
      <c r="X284" s="63"/>
      <c r="Y284" s="65"/>
      <c r="Z284" s="65"/>
      <c r="CH284" s="95" t="s">
        <v>87</v>
      </c>
      <c r="CI284" s="95" t="s">
        <v>632</v>
      </c>
      <c r="CJ284" s="96" t="s">
        <v>71</v>
      </c>
      <c r="CK284" s="97" t="s">
        <v>65</v>
      </c>
      <c r="CL284" s="97" t="s">
        <v>264</v>
      </c>
      <c r="CM284" s="97" t="s">
        <v>45</v>
      </c>
      <c r="CN284" s="96" t="s">
        <v>45</v>
      </c>
      <c r="CO284" s="96" t="s">
        <v>90</v>
      </c>
    </row>
    <row r="285" spans="1:93" ht="60" customHeight="1">
      <c r="A285" s="408">
        <f>A283+1</f>
        <v>201</v>
      </c>
      <c r="B285" s="417" t="s">
        <v>633</v>
      </c>
      <c r="C285" s="417" t="s">
        <v>82</v>
      </c>
      <c r="D285" s="417" t="s">
        <v>81</v>
      </c>
      <c r="E285" s="127" t="s">
        <v>329</v>
      </c>
      <c r="F285" s="22" t="s">
        <v>50</v>
      </c>
      <c r="G285" s="410">
        <v>576</v>
      </c>
      <c r="H285" s="418">
        <v>5.288</v>
      </c>
      <c r="I285" s="68"/>
      <c r="J285" s="56"/>
      <c r="K285" s="68"/>
      <c r="L285" s="69"/>
      <c r="M285" s="408">
        <v>9</v>
      </c>
      <c r="N285" s="408">
        <v>2</v>
      </c>
      <c r="O285" s="426">
        <v>1150</v>
      </c>
      <c r="P285" s="59">
        <v>1150</v>
      </c>
      <c r="Q285" s="423"/>
      <c r="R285" s="423"/>
      <c r="S285" s="423"/>
      <c r="T285" s="62"/>
      <c r="U285" s="63"/>
      <c r="V285" s="64"/>
      <c r="W285" s="65"/>
      <c r="X285" s="63"/>
      <c r="Y285" s="65"/>
      <c r="Z285" s="65"/>
      <c r="CH285" s="95" t="s">
        <v>62</v>
      </c>
      <c r="CI285" s="95" t="s">
        <v>634</v>
      </c>
      <c r="CJ285" s="48" t="s">
        <v>43</v>
      </c>
      <c r="CK285" s="97" t="s">
        <v>89</v>
      </c>
      <c r="CL285" s="97" t="s">
        <v>66</v>
      </c>
      <c r="CM285" s="97" t="s">
        <v>67</v>
      </c>
      <c r="CN285" s="96" t="s">
        <v>45</v>
      </c>
      <c r="CO285" s="96"/>
    </row>
    <row r="286" spans="1:93" ht="60" customHeight="1">
      <c r="A286" s="408"/>
      <c r="B286" s="417"/>
      <c r="C286" s="417"/>
      <c r="D286" s="417"/>
      <c r="E286" s="127"/>
      <c r="F286" s="22"/>
      <c r="G286" s="410"/>
      <c r="H286" s="418"/>
      <c r="I286" s="68"/>
      <c r="J286" s="56"/>
      <c r="K286" s="68"/>
      <c r="L286" s="69"/>
      <c r="M286" s="408"/>
      <c r="N286" s="408"/>
      <c r="O286" s="426"/>
      <c r="P286" s="59"/>
      <c r="Q286" s="423"/>
      <c r="R286" s="423"/>
      <c r="S286" s="423"/>
      <c r="T286" s="62"/>
      <c r="U286" s="63"/>
      <c r="V286" s="64"/>
      <c r="W286" s="65"/>
      <c r="X286" s="63"/>
      <c r="Y286" s="65"/>
      <c r="Z286" s="65"/>
      <c r="CH286" s="149" t="s">
        <v>62</v>
      </c>
      <c r="CI286" s="95" t="s">
        <v>635</v>
      </c>
      <c r="CJ286" s="96" t="s">
        <v>71</v>
      </c>
      <c r="CK286" s="97" t="s">
        <v>89</v>
      </c>
      <c r="CL286" s="97" t="s">
        <v>66</v>
      </c>
      <c r="CM286" s="97" t="s">
        <v>67</v>
      </c>
      <c r="CN286" s="96" t="s">
        <v>45</v>
      </c>
      <c r="CO286" s="96"/>
    </row>
    <row r="287" spans="1:93" ht="27" customHeight="1">
      <c r="A287" s="30">
        <f>A285+1</f>
        <v>202</v>
      </c>
      <c r="B287" s="66" t="s">
        <v>636</v>
      </c>
      <c r="C287" s="52" t="s">
        <v>637</v>
      </c>
      <c r="D287" s="52" t="s">
        <v>638</v>
      </c>
      <c r="E287" s="127" t="s">
        <v>329</v>
      </c>
      <c r="F287" s="22" t="s">
        <v>50</v>
      </c>
      <c r="G287" s="67">
        <v>647</v>
      </c>
      <c r="H287" s="55">
        <v>6.351</v>
      </c>
      <c r="I287" s="140"/>
      <c r="J287" s="56">
        <v>0.532</v>
      </c>
      <c r="K287" s="140"/>
      <c r="L287" s="69"/>
      <c r="M287" s="67">
        <v>9.24</v>
      </c>
      <c r="N287" s="71">
        <v>2</v>
      </c>
      <c r="O287" s="60">
        <v>1294</v>
      </c>
      <c r="P287" s="59">
        <f>646+1710</f>
        <v>2356</v>
      </c>
      <c r="Q287" s="71"/>
      <c r="R287" s="71"/>
      <c r="S287" s="72"/>
      <c r="T287" s="62"/>
      <c r="U287" s="63"/>
      <c r="V287" s="64"/>
      <c r="W287" s="65"/>
      <c r="X287" s="63"/>
      <c r="Y287" s="65"/>
      <c r="Z287" s="65"/>
      <c r="CH287" s="46" t="s">
        <v>52</v>
      </c>
      <c r="CI287" s="46"/>
      <c r="CJ287" s="46"/>
      <c r="CK287" s="46"/>
      <c r="CL287" s="46"/>
      <c r="CM287" s="46"/>
      <c r="CN287" s="46"/>
      <c r="CO287" s="46"/>
    </row>
    <row r="288" spans="1:93" ht="27" customHeight="1">
      <c r="A288" s="30">
        <f>A287+1</f>
        <v>203</v>
      </c>
      <c r="B288" s="66" t="s">
        <v>639</v>
      </c>
      <c r="C288" s="52" t="s">
        <v>210</v>
      </c>
      <c r="D288" s="52" t="s">
        <v>381</v>
      </c>
      <c r="E288" s="127" t="s">
        <v>329</v>
      </c>
      <c r="F288" s="22"/>
      <c r="G288" s="67">
        <v>527.9</v>
      </c>
      <c r="H288" s="55">
        <v>3.822</v>
      </c>
      <c r="I288" s="140"/>
      <c r="J288" s="56"/>
      <c r="K288" s="140"/>
      <c r="L288" s="69"/>
      <c r="M288" s="67"/>
      <c r="N288" s="71">
        <v>2</v>
      </c>
      <c r="O288" s="60">
        <f>G288*N288</f>
        <v>1056</v>
      </c>
      <c r="P288" s="59">
        <f>1085+164</f>
        <v>1249</v>
      </c>
      <c r="Q288" s="71"/>
      <c r="R288" s="71"/>
      <c r="S288" s="72"/>
      <c r="T288" s="62"/>
      <c r="U288" s="63"/>
      <c r="V288" s="64"/>
      <c r="W288" s="65"/>
      <c r="X288" s="63"/>
      <c r="Y288" s="65"/>
      <c r="Z288" s="65"/>
      <c r="CH288" s="46" t="s">
        <v>52</v>
      </c>
      <c r="CI288" s="46"/>
      <c r="CJ288" s="46"/>
      <c r="CK288" s="46"/>
      <c r="CL288" s="46"/>
      <c r="CM288" s="46"/>
      <c r="CN288" s="46"/>
      <c r="CO288" s="46"/>
    </row>
    <row r="289" spans="1:93" ht="27" customHeight="1">
      <c r="A289" s="30">
        <f>A288+1</f>
        <v>204</v>
      </c>
      <c r="B289" s="66" t="s">
        <v>640</v>
      </c>
      <c r="C289" s="52" t="s">
        <v>159</v>
      </c>
      <c r="D289" s="52" t="s">
        <v>80</v>
      </c>
      <c r="E289" s="127" t="s">
        <v>329</v>
      </c>
      <c r="F289" s="22" t="s">
        <v>50</v>
      </c>
      <c r="G289" s="67">
        <v>100</v>
      </c>
      <c r="H289" s="55">
        <v>1.266</v>
      </c>
      <c r="I289" s="140"/>
      <c r="J289" s="56"/>
      <c r="K289" s="140"/>
      <c r="L289" s="69"/>
      <c r="M289" s="71">
        <v>12.4</v>
      </c>
      <c r="N289" s="71">
        <v>2</v>
      </c>
      <c r="O289" s="60">
        <v>200</v>
      </c>
      <c r="P289" s="59">
        <f>32+316</f>
        <v>348</v>
      </c>
      <c r="Q289" s="71"/>
      <c r="R289" s="71"/>
      <c r="S289" s="72"/>
      <c r="T289" s="62"/>
      <c r="U289" s="63"/>
      <c r="V289" s="64"/>
      <c r="W289" s="65"/>
      <c r="X289" s="63"/>
      <c r="Y289" s="65"/>
      <c r="Z289" s="65"/>
      <c r="CH289" s="46" t="s">
        <v>52</v>
      </c>
      <c r="CI289" s="46"/>
      <c r="CJ289" s="46"/>
      <c r="CK289" s="46"/>
      <c r="CL289" s="46"/>
      <c r="CM289" s="46"/>
      <c r="CN289" s="46"/>
      <c r="CO289" s="46"/>
    </row>
    <row r="290" spans="1:93" ht="67.5" customHeight="1">
      <c r="A290" s="30">
        <f>A289+1</f>
        <v>205</v>
      </c>
      <c r="B290" s="66" t="s">
        <v>641</v>
      </c>
      <c r="C290" s="71" t="s">
        <v>642</v>
      </c>
      <c r="D290" s="71" t="s">
        <v>643</v>
      </c>
      <c r="E290" s="127" t="s">
        <v>329</v>
      </c>
      <c r="F290" s="22"/>
      <c r="G290" s="67">
        <v>239.2</v>
      </c>
      <c r="H290" s="55">
        <v>6.872</v>
      </c>
      <c r="I290" s="140"/>
      <c r="J290" s="56">
        <v>2.949</v>
      </c>
      <c r="K290" s="140"/>
      <c r="L290" s="69"/>
      <c r="M290" s="67"/>
      <c r="N290" s="71">
        <v>4</v>
      </c>
      <c r="O290" s="60">
        <f>G290*N290</f>
        <v>957</v>
      </c>
      <c r="P290" s="59">
        <f>725+2254</f>
        <v>2979</v>
      </c>
      <c r="Q290" s="71"/>
      <c r="R290" s="71"/>
      <c r="S290" s="72"/>
      <c r="T290" s="62"/>
      <c r="U290" s="63"/>
      <c r="V290" s="64"/>
      <c r="W290" s="65"/>
      <c r="X290" s="63"/>
      <c r="Y290" s="65"/>
      <c r="Z290" s="65"/>
      <c r="CH290" s="46" t="s">
        <v>52</v>
      </c>
      <c r="CI290" s="46"/>
      <c r="CJ290" s="46"/>
      <c r="CK290" s="46"/>
      <c r="CL290" s="46"/>
      <c r="CM290" s="46"/>
      <c r="CN290" s="46"/>
      <c r="CO290" s="46"/>
    </row>
    <row r="291" spans="1:93" ht="67.5" customHeight="1">
      <c r="A291" s="202"/>
      <c r="B291" s="194" t="s">
        <v>644</v>
      </c>
      <c r="C291" s="195" t="s">
        <v>489</v>
      </c>
      <c r="D291" s="195" t="s">
        <v>636</v>
      </c>
      <c r="E291" s="127"/>
      <c r="F291" s="22"/>
      <c r="G291" s="132"/>
      <c r="H291" s="197"/>
      <c r="I291" s="140"/>
      <c r="J291" s="56"/>
      <c r="K291" s="140"/>
      <c r="L291" s="69"/>
      <c r="M291" s="132"/>
      <c r="N291" s="134"/>
      <c r="O291" s="198"/>
      <c r="P291" s="59"/>
      <c r="Q291" s="134"/>
      <c r="R291" s="134"/>
      <c r="S291" s="135"/>
      <c r="T291" s="62"/>
      <c r="U291" s="63"/>
      <c r="V291" s="64"/>
      <c r="W291" s="65"/>
      <c r="X291" s="63"/>
      <c r="Y291" s="65"/>
      <c r="Z291" s="65"/>
      <c r="CH291" s="46" t="s">
        <v>42</v>
      </c>
      <c r="CI291" s="95" t="s">
        <v>645</v>
      </c>
      <c r="CJ291" s="46" t="s">
        <v>192</v>
      </c>
      <c r="CK291" s="46" t="s">
        <v>65</v>
      </c>
      <c r="CL291" s="97" t="s">
        <v>66</v>
      </c>
      <c r="CM291" s="46" t="s">
        <v>45</v>
      </c>
      <c r="CN291" s="46" t="s">
        <v>45</v>
      </c>
      <c r="CO291" s="46" t="s">
        <v>42</v>
      </c>
    </row>
    <row r="292" spans="1:93" ht="31.5">
      <c r="A292" s="408">
        <f>A290+1</f>
        <v>206</v>
      </c>
      <c r="B292" s="417" t="s">
        <v>644</v>
      </c>
      <c r="C292" s="417" t="s">
        <v>489</v>
      </c>
      <c r="D292" s="417" t="s">
        <v>636</v>
      </c>
      <c r="E292" s="127" t="s">
        <v>329</v>
      </c>
      <c r="F292" s="22" t="s">
        <v>51</v>
      </c>
      <c r="G292" s="410">
        <v>300</v>
      </c>
      <c r="H292" s="418">
        <v>4.805</v>
      </c>
      <c r="I292" s="68"/>
      <c r="J292" s="56"/>
      <c r="K292" s="68"/>
      <c r="L292" s="69"/>
      <c r="M292" s="408">
        <v>25.4</v>
      </c>
      <c r="N292" s="408">
        <v>2</v>
      </c>
      <c r="O292" s="426">
        <v>600</v>
      </c>
      <c r="P292" s="59">
        <f>265+360</f>
        <v>625</v>
      </c>
      <c r="Q292" s="408">
        <v>0</v>
      </c>
      <c r="R292" s="423"/>
      <c r="S292" s="423"/>
      <c r="T292" s="62"/>
      <c r="U292" s="63"/>
      <c r="V292" s="64"/>
      <c r="W292" s="65"/>
      <c r="X292" s="63"/>
      <c r="Y292" s="65"/>
      <c r="Z292" s="65"/>
      <c r="CH292" s="46" t="s">
        <v>42</v>
      </c>
      <c r="CI292" s="95" t="s">
        <v>645</v>
      </c>
      <c r="CJ292" s="96" t="s">
        <v>71</v>
      </c>
      <c r="CK292" s="97" t="s">
        <v>75</v>
      </c>
      <c r="CL292" s="97" t="s">
        <v>66</v>
      </c>
      <c r="CM292" s="97" t="s">
        <v>45</v>
      </c>
      <c r="CN292" s="96" t="s">
        <v>45</v>
      </c>
      <c r="CO292" s="46" t="s">
        <v>42</v>
      </c>
    </row>
    <row r="293" spans="1:93" ht="31.5">
      <c r="A293" s="408"/>
      <c r="B293" s="417"/>
      <c r="C293" s="417"/>
      <c r="D293" s="417"/>
      <c r="E293" s="127"/>
      <c r="F293" s="22"/>
      <c r="G293" s="410"/>
      <c r="H293" s="418"/>
      <c r="I293" s="68"/>
      <c r="J293" s="56"/>
      <c r="K293" s="68"/>
      <c r="L293" s="69"/>
      <c r="M293" s="408"/>
      <c r="N293" s="408"/>
      <c r="O293" s="426"/>
      <c r="P293" s="59"/>
      <c r="Q293" s="408"/>
      <c r="R293" s="423"/>
      <c r="S293" s="423"/>
      <c r="T293" s="62"/>
      <c r="U293" s="63"/>
      <c r="V293" s="64"/>
      <c r="W293" s="65"/>
      <c r="X293" s="63"/>
      <c r="Y293" s="65"/>
      <c r="Z293" s="65"/>
      <c r="CH293" s="149" t="s">
        <v>87</v>
      </c>
      <c r="CI293" s="95" t="s">
        <v>646</v>
      </c>
      <c r="CJ293" s="96" t="s">
        <v>64</v>
      </c>
      <c r="CK293" s="97" t="s">
        <v>130</v>
      </c>
      <c r="CL293" s="97" t="s">
        <v>66</v>
      </c>
      <c r="CM293" s="97" t="s">
        <v>45</v>
      </c>
      <c r="CN293" s="96" t="s">
        <v>45</v>
      </c>
      <c r="CO293" s="96" t="s">
        <v>193</v>
      </c>
    </row>
    <row r="294" spans="1:93" ht="66.75" customHeight="1">
      <c r="A294" s="30">
        <f>A292+1</f>
        <v>207</v>
      </c>
      <c r="B294" s="66" t="s">
        <v>647</v>
      </c>
      <c r="C294" s="52" t="s">
        <v>180</v>
      </c>
      <c r="D294" s="52" t="s">
        <v>82</v>
      </c>
      <c r="E294" s="127" t="s">
        <v>329</v>
      </c>
      <c r="F294" s="22" t="s">
        <v>50</v>
      </c>
      <c r="G294" s="67">
        <v>226.2</v>
      </c>
      <c r="H294" s="55">
        <v>2.461</v>
      </c>
      <c r="I294" s="140"/>
      <c r="J294" s="56">
        <v>0.606</v>
      </c>
      <c r="K294" s="140"/>
      <c r="L294" s="69"/>
      <c r="M294" s="71">
        <v>7.5</v>
      </c>
      <c r="N294" s="71">
        <v>2</v>
      </c>
      <c r="O294" s="60">
        <v>452</v>
      </c>
      <c r="P294" s="59">
        <v>476</v>
      </c>
      <c r="Q294" s="71"/>
      <c r="R294" s="71"/>
      <c r="S294" s="72"/>
      <c r="T294" s="62"/>
      <c r="U294" s="63"/>
      <c r="V294" s="64"/>
      <c r="W294" s="65"/>
      <c r="X294" s="63"/>
      <c r="Y294" s="65"/>
      <c r="Z294" s="65"/>
      <c r="CH294" s="95" t="s">
        <v>62</v>
      </c>
      <c r="CI294" s="95" t="s">
        <v>435</v>
      </c>
      <c r="CJ294" s="96" t="s">
        <v>71</v>
      </c>
      <c r="CK294" s="97" t="s">
        <v>130</v>
      </c>
      <c r="CL294" s="97" t="s">
        <v>66</v>
      </c>
      <c r="CM294" s="97" t="s">
        <v>67</v>
      </c>
      <c r="CN294" s="96" t="s">
        <v>45</v>
      </c>
      <c r="CO294" s="96"/>
    </row>
    <row r="295" spans="1:93" ht="63" customHeight="1">
      <c r="A295" s="30">
        <f>A294+1</f>
        <v>208</v>
      </c>
      <c r="B295" s="66" t="s">
        <v>647</v>
      </c>
      <c r="C295" s="52" t="s">
        <v>82</v>
      </c>
      <c r="D295" s="52" t="s">
        <v>195</v>
      </c>
      <c r="E295" s="127" t="s">
        <v>329</v>
      </c>
      <c r="F295" s="22" t="s">
        <v>50</v>
      </c>
      <c r="G295" s="67">
        <v>121.8</v>
      </c>
      <c r="H295" s="55">
        <v>0.546</v>
      </c>
      <c r="I295" s="140"/>
      <c r="J295" s="56"/>
      <c r="K295" s="140"/>
      <c r="L295" s="69"/>
      <c r="M295" s="71">
        <v>11.7</v>
      </c>
      <c r="N295" s="71">
        <v>2</v>
      </c>
      <c r="O295" s="60">
        <v>244</v>
      </c>
      <c r="P295" s="59">
        <v>367</v>
      </c>
      <c r="Q295" s="71"/>
      <c r="R295" s="71"/>
      <c r="S295" s="72"/>
      <c r="T295" s="62"/>
      <c r="U295" s="63"/>
      <c r="V295" s="64"/>
      <c r="W295" s="65"/>
      <c r="X295" s="63"/>
      <c r="Y295" s="65"/>
      <c r="Z295" s="65"/>
      <c r="CH295" s="95" t="s">
        <v>62</v>
      </c>
      <c r="CI295" s="95" t="s">
        <v>648</v>
      </c>
      <c r="CJ295" s="96" t="s">
        <v>64</v>
      </c>
      <c r="CK295" s="97" t="s">
        <v>130</v>
      </c>
      <c r="CL295" s="97" t="s">
        <v>66</v>
      </c>
      <c r="CM295" s="97" t="s">
        <v>67</v>
      </c>
      <c r="CN295" s="96" t="s">
        <v>45</v>
      </c>
      <c r="CO295" s="96"/>
    </row>
    <row r="296" spans="1:93" ht="47.25" customHeight="1">
      <c r="A296" s="30">
        <f>A295+1</f>
        <v>209</v>
      </c>
      <c r="B296" s="235" t="s">
        <v>649</v>
      </c>
      <c r="C296" s="52" t="s">
        <v>281</v>
      </c>
      <c r="D296" s="52" t="s">
        <v>377</v>
      </c>
      <c r="E296" s="127" t="s">
        <v>329</v>
      </c>
      <c r="F296" s="30" t="s">
        <v>172</v>
      </c>
      <c r="G296" s="54">
        <v>375</v>
      </c>
      <c r="H296" s="55">
        <v>3.255</v>
      </c>
      <c r="I296" s="57"/>
      <c r="J296" s="56"/>
      <c r="K296" s="57"/>
      <c r="L296" s="58"/>
      <c r="M296" s="59">
        <v>6.8</v>
      </c>
      <c r="N296" s="59">
        <v>2</v>
      </c>
      <c r="O296" s="60">
        <v>750</v>
      </c>
      <c r="P296" s="59">
        <f>139+1296</f>
        <v>1435</v>
      </c>
      <c r="Q296" s="59"/>
      <c r="R296" s="59"/>
      <c r="S296" s="61"/>
      <c r="T296" s="62"/>
      <c r="U296" s="63"/>
      <c r="V296" s="64"/>
      <c r="W296" s="65"/>
      <c r="X296" s="63"/>
      <c r="Y296" s="65"/>
      <c r="Z296" s="65"/>
      <c r="CH296" s="46" t="s">
        <v>52</v>
      </c>
      <c r="CI296" s="46"/>
      <c r="CJ296" s="46"/>
      <c r="CK296" s="46"/>
      <c r="CL296" s="46"/>
      <c r="CM296" s="46"/>
      <c r="CN296" s="46"/>
      <c r="CO296" s="46"/>
    </row>
    <row r="297" spans="1:93" ht="27" customHeight="1">
      <c r="A297" s="30">
        <f>A296+1</f>
        <v>210</v>
      </c>
      <c r="B297" s="66" t="s">
        <v>650</v>
      </c>
      <c r="C297" s="52" t="s">
        <v>651</v>
      </c>
      <c r="D297" s="52" t="s">
        <v>381</v>
      </c>
      <c r="E297" s="127" t="s">
        <v>329</v>
      </c>
      <c r="F297" s="22" t="s">
        <v>50</v>
      </c>
      <c r="G297" s="67">
        <v>2742</v>
      </c>
      <c r="H297" s="55">
        <v>25.192</v>
      </c>
      <c r="I297" s="140"/>
      <c r="J297" s="56"/>
      <c r="K297" s="140"/>
      <c r="L297" s="69"/>
      <c r="M297" s="67">
        <v>13.27</v>
      </c>
      <c r="N297" s="71">
        <v>2</v>
      </c>
      <c r="O297" s="60">
        <v>4456</v>
      </c>
      <c r="P297" s="59">
        <f>2043+2413</f>
        <v>4456</v>
      </c>
      <c r="Q297" s="71"/>
      <c r="R297" s="71"/>
      <c r="S297" s="72"/>
      <c r="T297" s="62"/>
      <c r="U297" s="63"/>
      <c r="V297" s="64"/>
      <c r="W297" s="65"/>
      <c r="X297" s="63"/>
      <c r="Y297" s="63"/>
      <c r="Z297" s="65"/>
      <c r="CH297" s="46" t="s">
        <v>52</v>
      </c>
      <c r="CI297" s="46"/>
      <c r="CJ297" s="46"/>
      <c r="CK297" s="46"/>
      <c r="CL297" s="46"/>
      <c r="CM297" s="46"/>
      <c r="CN297" s="46"/>
      <c r="CO297" s="46"/>
    </row>
    <row r="298" spans="1:93" ht="27" customHeight="1">
      <c r="A298" s="30">
        <f>A297+1</f>
        <v>211</v>
      </c>
      <c r="B298" s="66" t="s">
        <v>652</v>
      </c>
      <c r="C298" s="111" t="s">
        <v>653</v>
      </c>
      <c r="D298" s="111" t="s">
        <v>654</v>
      </c>
      <c r="E298" s="127" t="s">
        <v>329</v>
      </c>
      <c r="F298" s="22" t="s">
        <v>172</v>
      </c>
      <c r="G298" s="67">
        <v>131</v>
      </c>
      <c r="H298" s="55">
        <v>0.446</v>
      </c>
      <c r="I298" s="140"/>
      <c r="J298" s="56"/>
      <c r="K298" s="140"/>
      <c r="L298" s="69"/>
      <c r="M298" s="67">
        <v>3.4</v>
      </c>
      <c r="N298" s="71"/>
      <c r="O298" s="60">
        <v>0</v>
      </c>
      <c r="P298" s="59"/>
      <c r="Q298" s="71"/>
      <c r="R298" s="71"/>
      <c r="S298" s="72"/>
      <c r="T298" s="62"/>
      <c r="U298" s="63"/>
      <c r="V298" s="64"/>
      <c r="W298" s="65"/>
      <c r="X298" s="63"/>
      <c r="Y298" s="65"/>
      <c r="Z298" s="65"/>
      <c r="CH298" s="46" t="s">
        <v>52</v>
      </c>
      <c r="CI298" s="46"/>
      <c r="CJ298" s="46"/>
      <c r="CK298" s="46"/>
      <c r="CL298" s="46"/>
      <c r="CM298" s="46"/>
      <c r="CN298" s="46"/>
      <c r="CO298" s="46"/>
    </row>
    <row r="299" spans="1:93" ht="46.5" customHeight="1">
      <c r="A299" s="202">
        <f>A298+1</f>
        <v>212</v>
      </c>
      <c r="B299" s="131" t="s">
        <v>655</v>
      </c>
      <c r="C299" s="195" t="s">
        <v>158</v>
      </c>
      <c r="D299" s="195" t="s">
        <v>511</v>
      </c>
      <c r="E299" s="227" t="s">
        <v>329</v>
      </c>
      <c r="F299" s="23" t="s">
        <v>50</v>
      </c>
      <c r="G299" s="132">
        <v>293</v>
      </c>
      <c r="H299" s="197">
        <v>3.076</v>
      </c>
      <c r="I299" s="226"/>
      <c r="J299" s="212">
        <v>0.369</v>
      </c>
      <c r="K299" s="226"/>
      <c r="L299" s="152"/>
      <c r="M299" s="134">
        <v>8.8</v>
      </c>
      <c r="N299" s="134">
        <v>2</v>
      </c>
      <c r="O299" s="198">
        <v>586</v>
      </c>
      <c r="P299" s="213">
        <f>477+539</f>
        <v>1016</v>
      </c>
      <c r="Q299" s="134"/>
      <c r="R299" s="134"/>
      <c r="S299" s="135"/>
      <c r="T299" s="62"/>
      <c r="U299" s="63"/>
      <c r="V299" s="64"/>
      <c r="W299" s="65"/>
      <c r="X299" s="63"/>
      <c r="Y299" s="65"/>
      <c r="Z299" s="65"/>
      <c r="CH299" s="46" t="s">
        <v>42</v>
      </c>
      <c r="CI299" s="195" t="s">
        <v>656</v>
      </c>
      <c r="CJ299" s="48" t="s">
        <v>43</v>
      </c>
      <c r="CK299" s="46" t="s">
        <v>176</v>
      </c>
      <c r="CL299" s="46" t="s">
        <v>44</v>
      </c>
      <c r="CM299" s="46" t="s">
        <v>45</v>
      </c>
      <c r="CN299" s="46" t="s">
        <v>45</v>
      </c>
      <c r="CO299" s="46" t="s">
        <v>42</v>
      </c>
    </row>
    <row r="300" spans="1:93" ht="27" customHeight="1">
      <c r="A300" s="49"/>
      <c r="B300" s="69" t="s">
        <v>166</v>
      </c>
      <c r="C300" s="236"/>
      <c r="D300" s="237" t="s">
        <v>657</v>
      </c>
      <c r="E300" s="69"/>
      <c r="F300" s="49"/>
      <c r="G300" s="238">
        <f aca="true" t="shared" si="13" ref="G300:L300">SUM(G144:G299)</f>
        <v>56265.2</v>
      </c>
      <c r="H300" s="239">
        <f t="shared" si="13"/>
        <v>529.447</v>
      </c>
      <c r="I300" s="239">
        <f t="shared" si="13"/>
        <v>0</v>
      </c>
      <c r="J300" s="239">
        <f t="shared" si="13"/>
        <v>16.282</v>
      </c>
      <c r="K300" s="239">
        <f t="shared" si="13"/>
        <v>4.654</v>
      </c>
      <c r="L300" s="239">
        <f t="shared" si="13"/>
        <v>0</v>
      </c>
      <c r="M300" s="240"/>
      <c r="N300" s="232">
        <f>SUM(N144:N299)</f>
        <v>264</v>
      </c>
      <c r="O300" s="232">
        <f>SUM(O144:O299)</f>
        <v>101455</v>
      </c>
      <c r="P300" s="69"/>
      <c r="Q300" s="239">
        <f>SUM(Q144:Q299)</f>
        <v>5</v>
      </c>
      <c r="R300" s="69"/>
      <c r="S300" s="239">
        <f>SUM(S144:S299)</f>
        <v>56.583</v>
      </c>
      <c r="T300" s="62"/>
      <c r="U300" s="63"/>
      <c r="V300" s="64"/>
      <c r="W300" s="65"/>
      <c r="X300" s="63"/>
      <c r="Y300" s="65"/>
      <c r="Z300" s="65"/>
      <c r="CH300" s="46" t="s">
        <v>52</v>
      </c>
      <c r="CI300" s="46"/>
      <c r="CJ300" s="46"/>
      <c r="CK300" s="46"/>
      <c r="CL300" s="46"/>
      <c r="CM300" s="46"/>
      <c r="CN300" s="46"/>
      <c r="CO300" s="46"/>
    </row>
    <row r="301" spans="1:93" ht="24" customHeight="1">
      <c r="A301" s="438" t="s">
        <v>658</v>
      </c>
      <c r="B301" s="438"/>
      <c r="C301" s="438"/>
      <c r="D301" s="438"/>
      <c r="E301" s="438"/>
      <c r="F301" s="438"/>
      <c r="G301" s="438"/>
      <c r="H301" s="438"/>
      <c r="I301" s="438"/>
      <c r="J301" s="438"/>
      <c r="K301" s="438"/>
      <c r="L301" s="438"/>
      <c r="M301" s="438"/>
      <c r="N301" s="438"/>
      <c r="O301" s="438"/>
      <c r="P301" s="438"/>
      <c r="Q301" s="438"/>
      <c r="R301" s="438"/>
      <c r="S301" s="438"/>
      <c r="T301" s="242"/>
      <c r="U301" s="63"/>
      <c r="V301" s="64"/>
      <c r="W301" s="65"/>
      <c r="X301" s="63"/>
      <c r="Y301" s="65"/>
      <c r="Z301" s="65"/>
      <c r="CH301" s="46"/>
      <c r="CI301" s="46"/>
      <c r="CJ301" s="46"/>
      <c r="CK301" s="46"/>
      <c r="CL301" s="46"/>
      <c r="CM301" s="46"/>
      <c r="CN301" s="46"/>
      <c r="CO301" s="46"/>
    </row>
    <row r="302" spans="1:93" ht="36.75" customHeight="1">
      <c r="A302" s="202">
        <f>A299+1</f>
        <v>213</v>
      </c>
      <c r="B302" s="243" t="s">
        <v>659</v>
      </c>
      <c r="C302" s="190" t="s">
        <v>660</v>
      </c>
      <c r="D302" s="195" t="s">
        <v>381</v>
      </c>
      <c r="E302" s="202" t="s">
        <v>661</v>
      </c>
      <c r="F302" s="23" t="s">
        <v>172</v>
      </c>
      <c r="G302" s="132">
        <v>2163.2</v>
      </c>
      <c r="H302" s="197">
        <v>15.535</v>
      </c>
      <c r="I302" s="226"/>
      <c r="J302" s="212"/>
      <c r="K302" s="226"/>
      <c r="L302" s="152"/>
      <c r="M302" s="132">
        <v>7.19</v>
      </c>
      <c r="N302" s="134">
        <v>2</v>
      </c>
      <c r="O302" s="244">
        <f>3954+372</f>
        <v>4326</v>
      </c>
      <c r="P302" s="244">
        <f>4699+3671</f>
        <v>8370</v>
      </c>
      <c r="Q302" s="134"/>
      <c r="R302" s="134"/>
      <c r="S302" s="135"/>
      <c r="T302" s="62"/>
      <c r="U302" s="63"/>
      <c r="V302" s="64"/>
      <c r="W302" s="65"/>
      <c r="X302" s="63"/>
      <c r="Y302" s="65"/>
      <c r="Z302" s="65"/>
      <c r="CH302" s="46" t="s">
        <v>52</v>
      </c>
      <c r="CI302" s="46"/>
      <c r="CJ302" s="46"/>
      <c r="CK302" s="46"/>
      <c r="CL302" s="46"/>
      <c r="CM302" s="46"/>
      <c r="CN302" s="46"/>
      <c r="CO302" s="46"/>
    </row>
    <row r="303" spans="1:93" s="11" customFormat="1" ht="28.5" customHeight="1">
      <c r="A303" s="49"/>
      <c r="B303" s="69" t="s">
        <v>166</v>
      </c>
      <c r="C303" s="236"/>
      <c r="D303" s="237" t="s">
        <v>662</v>
      </c>
      <c r="E303" s="69"/>
      <c r="F303" s="49"/>
      <c r="G303" s="238">
        <f>SUM(G302:G302)</f>
        <v>2163.2</v>
      </c>
      <c r="H303" s="239">
        <f>SUM(H302:H302)</f>
        <v>15.535</v>
      </c>
      <c r="I303" s="239">
        <f>SUM(I302:I302)</f>
        <v>0</v>
      </c>
      <c r="J303" s="239">
        <f>SUM(J302:J302)</f>
        <v>0</v>
      </c>
      <c r="K303" s="239">
        <f>SUM(K302:K302)</f>
        <v>0</v>
      </c>
      <c r="L303" s="69">
        <v>0</v>
      </c>
      <c r="M303" s="240"/>
      <c r="N303" s="232">
        <f>SUM(N302:N302)</f>
        <v>2</v>
      </c>
      <c r="O303" s="232">
        <f>SUM(O302:O302)</f>
        <v>4326</v>
      </c>
      <c r="P303" s="69"/>
      <c r="Q303" s="69">
        <v>0</v>
      </c>
      <c r="R303" s="69"/>
      <c r="S303" s="239">
        <f>SUM(S302:S302)</f>
        <v>0</v>
      </c>
      <c r="T303" s="245" t="s">
        <v>663</v>
      </c>
      <c r="U303" s="164"/>
      <c r="V303" s="162"/>
      <c r="W303" s="164"/>
      <c r="X303" s="164"/>
      <c r="Y303" s="163"/>
      <c r="Z303" s="163"/>
      <c r="CH303" s="46" t="s">
        <v>52</v>
      </c>
      <c r="CI303" s="165"/>
      <c r="CJ303" s="165"/>
      <c r="CK303" s="165"/>
      <c r="CL303" s="165"/>
      <c r="CM303" s="165"/>
      <c r="CN303" s="165"/>
      <c r="CO303" s="165"/>
    </row>
    <row r="304" spans="1:93" s="11" customFormat="1" ht="27" customHeight="1">
      <c r="A304" s="151"/>
      <c r="B304" s="439" t="s">
        <v>664</v>
      </c>
      <c r="C304" s="439" t="s">
        <v>665</v>
      </c>
      <c r="D304" s="237" t="s">
        <v>168</v>
      </c>
      <c r="E304" s="246"/>
      <c r="F304" s="49"/>
      <c r="G304" s="238">
        <f aca="true" t="shared" si="14" ref="G304:L304">G58</f>
        <v>26234.8</v>
      </c>
      <c r="H304" s="239">
        <f t="shared" si="14"/>
        <v>502.777</v>
      </c>
      <c r="I304" s="239">
        <f t="shared" si="14"/>
        <v>2.371</v>
      </c>
      <c r="J304" s="239">
        <f t="shared" si="14"/>
        <v>10.392</v>
      </c>
      <c r="K304" s="239">
        <f t="shared" si="14"/>
        <v>0</v>
      </c>
      <c r="L304" s="239">
        <f t="shared" si="14"/>
        <v>0</v>
      </c>
      <c r="M304" s="232"/>
      <c r="N304" s="232"/>
      <c r="O304" s="232">
        <f>O58</f>
        <v>55916</v>
      </c>
      <c r="P304" s="232"/>
      <c r="Q304" s="232">
        <f>Q58</f>
        <v>5121</v>
      </c>
      <c r="R304" s="232"/>
      <c r="S304" s="239">
        <f>S58</f>
        <v>284.344</v>
      </c>
      <c r="T304" s="247">
        <f>G304-G329</f>
        <v>23138</v>
      </c>
      <c r="U304" s="248">
        <f>H304+L304-H329</f>
        <v>428.102</v>
      </c>
      <c r="V304" s="162"/>
      <c r="W304" s="163"/>
      <c r="X304" s="164"/>
      <c r="Y304" s="163"/>
      <c r="Z304" s="163"/>
      <c r="CH304" s="46" t="s">
        <v>52</v>
      </c>
      <c r="CI304" s="165"/>
      <c r="CJ304" s="165"/>
      <c r="CK304" s="165"/>
      <c r="CL304" s="165"/>
      <c r="CM304" s="165"/>
      <c r="CN304" s="165"/>
      <c r="CO304" s="165"/>
    </row>
    <row r="305" spans="1:93" s="11" customFormat="1" ht="27" customHeight="1">
      <c r="A305" s="249"/>
      <c r="B305" s="439"/>
      <c r="C305" s="439"/>
      <c r="D305" s="237" t="s">
        <v>325</v>
      </c>
      <c r="E305" s="246"/>
      <c r="F305" s="49"/>
      <c r="G305" s="238">
        <f aca="true" t="shared" si="15" ref="G305:L305">G142</f>
        <v>34162.7</v>
      </c>
      <c r="H305" s="239">
        <f t="shared" si="15"/>
        <v>482.856</v>
      </c>
      <c r="I305" s="239">
        <f t="shared" si="15"/>
        <v>0</v>
      </c>
      <c r="J305" s="239">
        <f t="shared" si="15"/>
        <v>9.661</v>
      </c>
      <c r="K305" s="239">
        <f t="shared" si="15"/>
        <v>0</v>
      </c>
      <c r="L305" s="239">
        <f t="shared" si="15"/>
        <v>1.8</v>
      </c>
      <c r="M305" s="232"/>
      <c r="N305" s="232"/>
      <c r="O305" s="232">
        <f>O142</f>
        <v>67446</v>
      </c>
      <c r="P305" s="232"/>
      <c r="Q305" s="232">
        <f>Q142</f>
        <v>3147</v>
      </c>
      <c r="R305" s="232"/>
      <c r="S305" s="239">
        <f>S142</f>
        <v>25.699</v>
      </c>
      <c r="T305" s="247">
        <f>G305-G338</f>
        <v>33534</v>
      </c>
      <c r="U305" s="248">
        <f>H305+L305-H338</f>
        <v>474.473</v>
      </c>
      <c r="V305" s="162"/>
      <c r="W305" s="163"/>
      <c r="X305" s="164"/>
      <c r="Y305" s="163"/>
      <c r="Z305" s="163"/>
      <c r="CH305" s="46" t="s">
        <v>52</v>
      </c>
      <c r="CI305" s="165"/>
      <c r="CJ305" s="165"/>
      <c r="CK305" s="165"/>
      <c r="CL305" s="165"/>
      <c r="CM305" s="165"/>
      <c r="CN305" s="165"/>
      <c r="CO305" s="165"/>
    </row>
    <row r="306" spans="1:93" s="11" customFormat="1" ht="27" customHeight="1">
      <c r="A306" s="249"/>
      <c r="B306" s="439"/>
      <c r="C306" s="439"/>
      <c r="D306" s="237" t="s">
        <v>657</v>
      </c>
      <c r="E306" s="246"/>
      <c r="F306" s="49"/>
      <c r="G306" s="238">
        <f aca="true" t="shared" si="16" ref="G306:L306">G300</f>
        <v>56265.2</v>
      </c>
      <c r="H306" s="239">
        <f t="shared" si="16"/>
        <v>529.447</v>
      </c>
      <c r="I306" s="239">
        <f t="shared" si="16"/>
        <v>0</v>
      </c>
      <c r="J306" s="239">
        <f t="shared" si="16"/>
        <v>16.282</v>
      </c>
      <c r="K306" s="239">
        <f t="shared" si="16"/>
        <v>4.654</v>
      </c>
      <c r="L306" s="239">
        <f t="shared" si="16"/>
        <v>0</v>
      </c>
      <c r="M306" s="232"/>
      <c r="N306" s="232"/>
      <c r="O306" s="232">
        <f>O300</f>
        <v>101455</v>
      </c>
      <c r="P306" s="232"/>
      <c r="Q306" s="232">
        <f>Q300</f>
        <v>5</v>
      </c>
      <c r="R306" s="232"/>
      <c r="S306" s="239">
        <f>S300</f>
        <v>56.583</v>
      </c>
      <c r="T306" s="247">
        <f>G306-G348</f>
        <v>55757.8</v>
      </c>
      <c r="U306" s="248">
        <f>H306+L306-H348</f>
        <v>522.657</v>
      </c>
      <c r="V306" s="162"/>
      <c r="W306" s="163"/>
      <c r="X306" s="164"/>
      <c r="Y306" s="163"/>
      <c r="Z306" s="163"/>
      <c r="CH306" s="46" t="s">
        <v>52</v>
      </c>
      <c r="CI306" s="165"/>
      <c r="CJ306" s="165"/>
      <c r="CK306" s="165"/>
      <c r="CL306" s="165"/>
      <c r="CM306" s="165"/>
      <c r="CN306" s="165"/>
      <c r="CO306" s="165"/>
    </row>
    <row r="307" spans="1:93" s="11" customFormat="1" ht="27" customHeight="1">
      <c r="A307" s="249"/>
      <c r="B307" s="439"/>
      <c r="C307" s="439"/>
      <c r="D307" s="237" t="s">
        <v>666</v>
      </c>
      <c r="E307" s="246"/>
      <c r="F307" s="49"/>
      <c r="G307" s="238">
        <f aca="true" t="shared" si="17" ref="G307:L307">G303</f>
        <v>2163.2</v>
      </c>
      <c r="H307" s="239">
        <f t="shared" si="17"/>
        <v>15.535</v>
      </c>
      <c r="I307" s="239">
        <f t="shared" si="17"/>
        <v>0</v>
      </c>
      <c r="J307" s="239">
        <f t="shared" si="17"/>
        <v>0</v>
      </c>
      <c r="K307" s="239">
        <f t="shared" si="17"/>
        <v>0</v>
      </c>
      <c r="L307" s="239">
        <f t="shared" si="17"/>
        <v>0</v>
      </c>
      <c r="M307" s="232"/>
      <c r="N307" s="232"/>
      <c r="O307" s="232">
        <f>O303</f>
        <v>4326</v>
      </c>
      <c r="P307" s="232"/>
      <c r="Q307" s="232">
        <f>Q303</f>
        <v>0</v>
      </c>
      <c r="R307" s="232"/>
      <c r="S307" s="239">
        <f>S303</f>
        <v>0</v>
      </c>
      <c r="T307" s="247">
        <f>G307</f>
        <v>2163.2</v>
      </c>
      <c r="U307" s="248">
        <f>H307+L307</f>
        <v>15.535</v>
      </c>
      <c r="V307" s="162"/>
      <c r="W307" s="163"/>
      <c r="X307" s="164"/>
      <c r="Y307" s="163"/>
      <c r="Z307" s="163"/>
      <c r="CH307" s="46" t="s">
        <v>52</v>
      </c>
      <c r="CI307" s="165"/>
      <c r="CJ307" s="165"/>
      <c r="CK307" s="165"/>
      <c r="CL307" s="165"/>
      <c r="CM307" s="165"/>
      <c r="CN307" s="165"/>
      <c r="CO307" s="165"/>
    </row>
    <row r="308" spans="1:93" s="11" customFormat="1" ht="27" customHeight="1">
      <c r="A308" s="241"/>
      <c r="B308" s="439"/>
      <c r="C308" s="439"/>
      <c r="D308" s="237" t="s">
        <v>667</v>
      </c>
      <c r="E308" s="246"/>
      <c r="F308" s="49"/>
      <c r="G308" s="238">
        <f aca="true" t="shared" si="18" ref="G308:L308">SUM(G304:G307)</f>
        <v>118825.9</v>
      </c>
      <c r="H308" s="239">
        <f t="shared" si="18"/>
        <v>1530.615</v>
      </c>
      <c r="I308" s="239">
        <f t="shared" si="18"/>
        <v>2.371</v>
      </c>
      <c r="J308" s="239">
        <f t="shared" si="18"/>
        <v>36.335</v>
      </c>
      <c r="K308" s="239">
        <f t="shared" si="18"/>
        <v>4.654</v>
      </c>
      <c r="L308" s="239">
        <f t="shared" si="18"/>
        <v>1.8</v>
      </c>
      <c r="M308" s="232"/>
      <c r="N308" s="232"/>
      <c r="O308" s="232">
        <f>SUM(O304:O307)</f>
        <v>229143</v>
      </c>
      <c r="P308" s="232"/>
      <c r="Q308" s="250">
        <f>SUM(Q304:Q307)</f>
        <v>8273</v>
      </c>
      <c r="R308" s="232"/>
      <c r="S308" s="239">
        <f>SUM(S304:S307)</f>
        <v>366.626</v>
      </c>
      <c r="T308" s="251">
        <f>SUM(T304:T307)</f>
        <v>114593</v>
      </c>
      <c r="U308" s="248">
        <f>SUM(U304:U307)</f>
        <v>1440.767</v>
      </c>
      <c r="V308" s="162"/>
      <c r="W308" s="163"/>
      <c r="X308" s="164"/>
      <c r="Y308" s="163"/>
      <c r="Z308" s="163"/>
      <c r="CH308" s="46" t="s">
        <v>52</v>
      </c>
      <c r="CI308" s="165"/>
      <c r="CJ308" s="165"/>
      <c r="CK308" s="165"/>
      <c r="CL308" s="165"/>
      <c r="CM308" s="165"/>
      <c r="CN308" s="165"/>
      <c r="CO308" s="165"/>
    </row>
    <row r="309" spans="1:93" s="11" customFormat="1" ht="27" customHeight="1">
      <c r="A309" s="252"/>
      <c r="B309" s="440" t="s">
        <v>668</v>
      </c>
      <c r="C309" s="440" t="s">
        <v>665</v>
      </c>
      <c r="D309" s="253" t="s">
        <v>168</v>
      </c>
      <c r="E309" s="254"/>
      <c r="F309" s="255"/>
      <c r="G309" s="256">
        <f aca="true" t="shared" si="19" ref="G309:S309">G18</f>
        <v>971</v>
      </c>
      <c r="H309" s="256">
        <f t="shared" si="19"/>
        <v>28.79</v>
      </c>
      <c r="I309" s="256">
        <f t="shared" si="19"/>
        <v>0</v>
      </c>
      <c r="J309" s="256">
        <f t="shared" si="19"/>
        <v>0</v>
      </c>
      <c r="K309" s="256">
        <f t="shared" si="19"/>
        <v>0</v>
      </c>
      <c r="L309" s="256">
        <f t="shared" si="19"/>
        <v>0</v>
      </c>
      <c r="M309" s="256">
        <f t="shared" si="19"/>
        <v>23</v>
      </c>
      <c r="N309" s="256">
        <f t="shared" si="19"/>
        <v>4</v>
      </c>
      <c r="O309" s="256">
        <f t="shared" si="19"/>
        <v>3884</v>
      </c>
      <c r="P309" s="256">
        <f t="shared" si="19"/>
        <v>0</v>
      </c>
      <c r="Q309" s="256">
        <f t="shared" si="19"/>
        <v>0</v>
      </c>
      <c r="R309" s="256">
        <f t="shared" si="19"/>
        <v>0</v>
      </c>
      <c r="S309" s="256">
        <f t="shared" si="19"/>
        <v>0</v>
      </c>
      <c r="T309" s="247">
        <f>G309-G334</f>
        <v>799</v>
      </c>
      <c r="U309" s="248">
        <f>H309+L309-H334</f>
        <v>26.04</v>
      </c>
      <c r="V309" s="162"/>
      <c r="W309" s="163"/>
      <c r="X309" s="164"/>
      <c r="Y309" s="163"/>
      <c r="Z309" s="163"/>
      <c r="CH309" s="46" t="s">
        <v>52</v>
      </c>
      <c r="CI309" s="165"/>
      <c r="CJ309" s="165"/>
      <c r="CK309" s="165"/>
      <c r="CL309" s="165"/>
      <c r="CM309" s="165"/>
      <c r="CN309" s="165"/>
      <c r="CO309" s="165"/>
    </row>
    <row r="310" spans="1:93" s="11" customFormat="1" ht="27" customHeight="1">
      <c r="A310" s="257"/>
      <c r="B310" s="440"/>
      <c r="C310" s="440"/>
      <c r="D310" s="253" t="s">
        <v>325</v>
      </c>
      <c r="E310" s="254"/>
      <c r="F310" s="255"/>
      <c r="G310" s="256">
        <v>0</v>
      </c>
      <c r="H310" s="258">
        <v>0</v>
      </c>
      <c r="I310" s="258">
        <v>0</v>
      </c>
      <c r="J310" s="258">
        <v>0</v>
      </c>
      <c r="K310" s="258">
        <v>0</v>
      </c>
      <c r="L310" s="258">
        <v>0</v>
      </c>
      <c r="M310" s="259"/>
      <c r="N310" s="259"/>
      <c r="O310" s="259">
        <v>0</v>
      </c>
      <c r="P310" s="259"/>
      <c r="Q310" s="259">
        <v>0</v>
      </c>
      <c r="R310" s="259"/>
      <c r="S310" s="258">
        <v>0</v>
      </c>
      <c r="T310" s="247">
        <f>G310-G343</f>
        <v>-29.1</v>
      </c>
      <c r="U310" s="248">
        <f>H310+L310-H343</f>
        <v>-0.364</v>
      </c>
      <c r="V310" s="162"/>
      <c r="W310" s="163"/>
      <c r="X310" s="164"/>
      <c r="Y310" s="163"/>
      <c r="Z310" s="163"/>
      <c r="CH310" s="46" t="s">
        <v>52</v>
      </c>
      <c r="CI310" s="165"/>
      <c r="CJ310" s="165"/>
      <c r="CK310" s="165"/>
      <c r="CL310" s="165"/>
      <c r="CM310" s="165"/>
      <c r="CN310" s="165"/>
      <c r="CO310" s="165"/>
    </row>
    <row r="311" spans="1:93" s="11" customFormat="1" ht="27" customHeight="1">
      <c r="A311" s="257"/>
      <c r="B311" s="440"/>
      <c r="C311" s="440"/>
      <c r="D311" s="253" t="s">
        <v>657</v>
      </c>
      <c r="E311" s="254"/>
      <c r="F311" s="255"/>
      <c r="G311" s="256">
        <v>0</v>
      </c>
      <c r="H311" s="258">
        <v>0</v>
      </c>
      <c r="I311" s="258">
        <v>0</v>
      </c>
      <c r="J311" s="258">
        <v>0</v>
      </c>
      <c r="K311" s="258">
        <v>0</v>
      </c>
      <c r="L311" s="258">
        <v>0</v>
      </c>
      <c r="M311" s="259"/>
      <c r="N311" s="259"/>
      <c r="O311" s="259">
        <v>0</v>
      </c>
      <c r="P311" s="259"/>
      <c r="Q311" s="259">
        <v>0</v>
      </c>
      <c r="R311" s="259"/>
      <c r="S311" s="258">
        <v>0</v>
      </c>
      <c r="T311" s="247">
        <f>G311-G353</f>
        <v>-2.37</v>
      </c>
      <c r="U311" s="248">
        <f>H311+L311-H353</f>
        <v>-4.654</v>
      </c>
      <c r="V311" s="162"/>
      <c r="W311" s="163"/>
      <c r="X311" s="164"/>
      <c r="Y311" s="163"/>
      <c r="Z311" s="163"/>
      <c r="CH311" s="46" t="s">
        <v>52</v>
      </c>
      <c r="CI311" s="165"/>
      <c r="CJ311" s="165"/>
      <c r="CK311" s="165"/>
      <c r="CL311" s="165"/>
      <c r="CM311" s="165"/>
      <c r="CN311" s="165"/>
      <c r="CO311" s="165"/>
    </row>
    <row r="312" spans="1:93" s="11" customFormat="1" ht="27" customHeight="1">
      <c r="A312" s="257"/>
      <c r="B312" s="440"/>
      <c r="C312" s="440"/>
      <c r="D312" s="253" t="s">
        <v>666</v>
      </c>
      <c r="E312" s="254"/>
      <c r="F312" s="255"/>
      <c r="G312" s="256">
        <v>0</v>
      </c>
      <c r="H312" s="258">
        <v>0</v>
      </c>
      <c r="I312" s="258">
        <v>0</v>
      </c>
      <c r="J312" s="258">
        <v>0</v>
      </c>
      <c r="K312" s="258">
        <v>0</v>
      </c>
      <c r="L312" s="258">
        <v>0</v>
      </c>
      <c r="M312" s="259"/>
      <c r="N312" s="259"/>
      <c r="O312" s="259">
        <v>0</v>
      </c>
      <c r="P312" s="259"/>
      <c r="Q312" s="259">
        <v>0</v>
      </c>
      <c r="R312" s="259"/>
      <c r="S312" s="258">
        <v>0</v>
      </c>
      <c r="T312" s="247">
        <f>G312</f>
        <v>0</v>
      </c>
      <c r="U312" s="248">
        <f>H312+L312</f>
        <v>0</v>
      </c>
      <c r="V312" s="162"/>
      <c r="W312" s="163"/>
      <c r="X312" s="164"/>
      <c r="Y312" s="163"/>
      <c r="Z312" s="163"/>
      <c r="CH312" s="46" t="s">
        <v>52</v>
      </c>
      <c r="CI312" s="165"/>
      <c r="CJ312" s="165"/>
      <c r="CK312" s="165"/>
      <c r="CL312" s="165"/>
      <c r="CM312" s="165"/>
      <c r="CN312" s="165"/>
      <c r="CO312" s="165"/>
    </row>
    <row r="313" spans="1:93" s="11" customFormat="1" ht="27" customHeight="1">
      <c r="A313" s="260"/>
      <c r="B313" s="440"/>
      <c r="C313" s="440"/>
      <c r="D313" s="253" t="s">
        <v>667</v>
      </c>
      <c r="E313" s="254"/>
      <c r="F313" s="255"/>
      <c r="G313" s="256">
        <f aca="true" t="shared" si="20" ref="G313:L313">SUM(G309:G312)</f>
        <v>971</v>
      </c>
      <c r="H313" s="258">
        <f t="shared" si="20"/>
        <v>28.79</v>
      </c>
      <c r="I313" s="258">
        <f t="shared" si="20"/>
        <v>0</v>
      </c>
      <c r="J313" s="258">
        <f t="shared" si="20"/>
        <v>0</v>
      </c>
      <c r="K313" s="258">
        <f t="shared" si="20"/>
        <v>0</v>
      </c>
      <c r="L313" s="258">
        <f t="shared" si="20"/>
        <v>0</v>
      </c>
      <c r="M313" s="259"/>
      <c r="N313" s="259"/>
      <c r="O313" s="256">
        <f>SUM(O309:O312)</f>
        <v>3884</v>
      </c>
      <c r="P313" s="259"/>
      <c r="Q313" s="261">
        <f>SUM(Q309:Q312)</f>
        <v>0</v>
      </c>
      <c r="R313" s="259"/>
      <c r="S313" s="258">
        <f>SUM(S309:S312)</f>
        <v>0</v>
      </c>
      <c r="T313" s="251">
        <f>SUM(T309:T312)</f>
        <v>767.53</v>
      </c>
      <c r="U313" s="248">
        <f>SUM(U309:U312)</f>
        <v>21.022</v>
      </c>
      <c r="V313" s="162"/>
      <c r="W313" s="163"/>
      <c r="X313" s="164"/>
      <c r="Y313" s="163"/>
      <c r="Z313" s="163"/>
      <c r="CH313" s="46" t="s">
        <v>52</v>
      </c>
      <c r="CI313" s="165"/>
      <c r="CJ313" s="165"/>
      <c r="CK313" s="165"/>
      <c r="CL313" s="165"/>
      <c r="CM313" s="165"/>
      <c r="CN313" s="165"/>
      <c r="CO313" s="165"/>
    </row>
    <row r="314" spans="1:24" s="11" customFormat="1" ht="24.75" customHeight="1">
      <c r="A314" s="437" t="s">
        <v>669</v>
      </c>
      <c r="B314" s="437"/>
      <c r="C314" s="437"/>
      <c r="D314" s="262"/>
      <c r="E314" s="263"/>
      <c r="F314" s="264"/>
      <c r="G314" s="265"/>
      <c r="H314" s="264"/>
      <c r="I314" s="266"/>
      <c r="J314" s="266"/>
      <c r="K314" s="266"/>
      <c r="L314" s="263"/>
      <c r="M314" s="263"/>
      <c r="N314" s="263"/>
      <c r="O314" s="263"/>
      <c r="P314" s="263"/>
      <c r="Q314" s="263"/>
      <c r="R314" s="263"/>
      <c r="S314" s="263"/>
      <c r="U314" s="267"/>
      <c r="V314" s="20"/>
      <c r="X314" s="267"/>
    </row>
    <row r="315" spans="1:24" s="11" customFormat="1" ht="28.5" customHeight="1">
      <c r="A315" s="268"/>
      <c r="B315" s="11" t="s">
        <v>670</v>
      </c>
      <c r="C315" s="269"/>
      <c r="D315" s="269"/>
      <c r="F315" s="268"/>
      <c r="G315" s="270"/>
      <c r="H315" s="268"/>
      <c r="I315" s="271"/>
      <c r="J315" s="271"/>
      <c r="K315" s="271"/>
      <c r="U315" s="267"/>
      <c r="V315" s="20"/>
      <c r="X315" s="267"/>
    </row>
    <row r="316" spans="1:24" s="11" customFormat="1" ht="28.5" customHeight="1">
      <c r="A316" s="268"/>
      <c r="C316" s="269"/>
      <c r="D316" s="269"/>
      <c r="F316" s="268"/>
      <c r="G316" s="270"/>
      <c r="H316" s="268"/>
      <c r="I316" s="271"/>
      <c r="J316" s="271"/>
      <c r="K316" s="271"/>
      <c r="U316" s="267"/>
      <c r="V316" s="20"/>
      <c r="X316" s="267"/>
    </row>
    <row r="317" spans="1:26" s="106" customFormat="1" ht="18.75" customHeight="1">
      <c r="A317" s="98">
        <v>13</v>
      </c>
      <c r="B317" s="119" t="s">
        <v>107</v>
      </c>
      <c r="C317" s="424" t="s">
        <v>108</v>
      </c>
      <c r="D317" s="424"/>
      <c r="E317" s="98" t="s">
        <v>50</v>
      </c>
      <c r="F317" s="98" t="s">
        <v>51</v>
      </c>
      <c r="G317" s="113">
        <v>682</v>
      </c>
      <c r="H317" s="178">
        <v>16.71</v>
      </c>
      <c r="I317" s="115"/>
      <c r="J317" s="115"/>
      <c r="K317" s="115"/>
      <c r="L317" s="117"/>
      <c r="M317" s="119">
        <v>24.5</v>
      </c>
      <c r="N317" s="119">
        <v>2</v>
      </c>
      <c r="O317" s="179">
        <v>1364</v>
      </c>
      <c r="P317" s="119">
        <v>0</v>
      </c>
      <c r="Q317" s="119">
        <v>0</v>
      </c>
      <c r="R317" s="119" t="s">
        <v>61</v>
      </c>
      <c r="S317" s="122"/>
      <c r="T317" s="102"/>
      <c r="U317" s="103"/>
      <c r="V317" s="104"/>
      <c r="W317" s="105"/>
      <c r="X317" s="103"/>
      <c r="Y317" s="103"/>
      <c r="Z317" s="105"/>
    </row>
    <row r="318" spans="1:92" s="106" customFormat="1" ht="29.25" customHeight="1">
      <c r="A318" s="98">
        <v>16</v>
      </c>
      <c r="B318" s="119" t="s">
        <v>116</v>
      </c>
      <c r="C318" s="111" t="s">
        <v>117</v>
      </c>
      <c r="D318" s="111" t="s">
        <v>118</v>
      </c>
      <c r="E318" s="98" t="s">
        <v>50</v>
      </c>
      <c r="F318" s="98" t="s">
        <v>51</v>
      </c>
      <c r="G318" s="113">
        <v>50</v>
      </c>
      <c r="H318" s="178">
        <v>0.749</v>
      </c>
      <c r="I318" s="115"/>
      <c r="J318" s="115"/>
      <c r="K318" s="115"/>
      <c r="L318" s="117"/>
      <c r="M318" s="119">
        <v>15</v>
      </c>
      <c r="N318" s="119">
        <v>2</v>
      </c>
      <c r="O318" s="179">
        <v>100</v>
      </c>
      <c r="P318" s="119">
        <v>0</v>
      </c>
      <c r="Q318" s="119">
        <v>0</v>
      </c>
      <c r="R318" s="119" t="s">
        <v>119</v>
      </c>
      <c r="S318" s="122"/>
      <c r="T318" s="102"/>
      <c r="U318" s="103"/>
      <c r="V318" s="104"/>
      <c r="W318" s="105"/>
      <c r="X318" s="103"/>
      <c r="Y318" s="103"/>
      <c r="Z318" s="105"/>
      <c r="CN318" s="106" t="s">
        <v>671</v>
      </c>
    </row>
    <row r="319" spans="1:26" s="106" customFormat="1" ht="29.25" customHeight="1">
      <c r="A319" s="98">
        <v>25</v>
      </c>
      <c r="B319" s="119" t="s">
        <v>148</v>
      </c>
      <c r="C319" s="424" t="s">
        <v>149</v>
      </c>
      <c r="D319" s="424"/>
      <c r="E319" s="98" t="s">
        <v>50</v>
      </c>
      <c r="F319" s="98" t="s">
        <v>51</v>
      </c>
      <c r="G319" s="113">
        <v>20</v>
      </c>
      <c r="H319" s="178">
        <v>0.319</v>
      </c>
      <c r="I319" s="115"/>
      <c r="J319" s="115"/>
      <c r="K319" s="115"/>
      <c r="L319" s="117"/>
      <c r="M319" s="119">
        <v>16</v>
      </c>
      <c r="N319" s="119">
        <v>2</v>
      </c>
      <c r="O319" s="179">
        <v>40</v>
      </c>
      <c r="P319" s="119">
        <v>0</v>
      </c>
      <c r="Q319" s="119">
        <v>0</v>
      </c>
      <c r="R319" s="119" t="s">
        <v>61</v>
      </c>
      <c r="S319" s="122"/>
      <c r="T319" s="102"/>
      <c r="U319" s="103"/>
      <c r="V319" s="104"/>
      <c r="W319" s="105"/>
      <c r="X319" s="103"/>
      <c r="Y319" s="103"/>
      <c r="Z319" s="105"/>
    </row>
    <row r="320" spans="1:26" s="106" customFormat="1" ht="29.25" customHeight="1">
      <c r="A320" s="98">
        <v>26</v>
      </c>
      <c r="B320" s="119" t="s">
        <v>150</v>
      </c>
      <c r="C320" s="424" t="s">
        <v>151</v>
      </c>
      <c r="D320" s="424"/>
      <c r="E320" s="98" t="s">
        <v>50</v>
      </c>
      <c r="F320" s="98" t="s">
        <v>51</v>
      </c>
      <c r="G320" s="113">
        <v>215</v>
      </c>
      <c r="H320" s="178">
        <v>4.51</v>
      </c>
      <c r="I320" s="115"/>
      <c r="J320" s="115"/>
      <c r="K320" s="115"/>
      <c r="L320" s="117"/>
      <c r="M320" s="119">
        <v>21</v>
      </c>
      <c r="N320" s="119">
        <v>2</v>
      </c>
      <c r="O320" s="179">
        <v>430</v>
      </c>
      <c r="P320" s="119">
        <v>0</v>
      </c>
      <c r="Q320" s="119">
        <v>215</v>
      </c>
      <c r="R320" s="119" t="s">
        <v>114</v>
      </c>
      <c r="S320" s="122">
        <v>4.51</v>
      </c>
      <c r="T320" s="102"/>
      <c r="U320" s="103"/>
      <c r="V320" s="104"/>
      <c r="W320" s="105"/>
      <c r="X320" s="103"/>
      <c r="Y320" s="103"/>
      <c r="Z320" s="105"/>
    </row>
    <row r="321" spans="1:26" s="106" customFormat="1" ht="29.25" customHeight="1">
      <c r="A321" s="98">
        <v>28</v>
      </c>
      <c r="B321" s="119" t="s">
        <v>156</v>
      </c>
      <c r="C321" s="424" t="s">
        <v>157</v>
      </c>
      <c r="D321" s="424"/>
      <c r="E321" s="98" t="s">
        <v>50</v>
      </c>
      <c r="F321" s="98" t="s">
        <v>51</v>
      </c>
      <c r="G321" s="113">
        <v>582</v>
      </c>
      <c r="H321" s="178">
        <v>10.56</v>
      </c>
      <c r="I321" s="115"/>
      <c r="J321" s="115"/>
      <c r="K321" s="115"/>
      <c r="L321" s="117"/>
      <c r="M321" s="119">
        <v>18.14</v>
      </c>
      <c r="N321" s="119">
        <v>4</v>
      </c>
      <c r="O321" s="179">
        <v>2328</v>
      </c>
      <c r="P321" s="119">
        <v>0</v>
      </c>
      <c r="Q321" s="119">
        <v>590</v>
      </c>
      <c r="R321" s="119" t="s">
        <v>77</v>
      </c>
      <c r="S321" s="122">
        <v>10.56</v>
      </c>
      <c r="T321" s="102"/>
      <c r="U321" s="103"/>
      <c r="V321" s="104"/>
      <c r="W321" s="105"/>
      <c r="X321" s="103"/>
      <c r="Y321" s="103"/>
      <c r="Z321" s="105"/>
    </row>
    <row r="322" spans="1:26" s="106" customFormat="1" ht="29.25" customHeight="1">
      <c r="A322" s="98">
        <v>30</v>
      </c>
      <c r="B322" s="119" t="s">
        <v>161</v>
      </c>
      <c r="C322" s="424" t="s">
        <v>162</v>
      </c>
      <c r="D322" s="424"/>
      <c r="E322" s="98" t="s">
        <v>50</v>
      </c>
      <c r="F322" s="98" t="s">
        <v>51</v>
      </c>
      <c r="G322" s="113">
        <v>226</v>
      </c>
      <c r="H322" s="178">
        <v>6.33</v>
      </c>
      <c r="I322" s="115"/>
      <c r="J322" s="115"/>
      <c r="K322" s="115"/>
      <c r="L322" s="117"/>
      <c r="M322" s="119">
        <v>28</v>
      </c>
      <c r="N322" s="119">
        <v>2</v>
      </c>
      <c r="O322" s="179">
        <v>452</v>
      </c>
      <c r="P322" s="119">
        <v>0</v>
      </c>
      <c r="Q322" s="119">
        <v>226</v>
      </c>
      <c r="R322" s="119" t="s">
        <v>83</v>
      </c>
      <c r="S322" s="122">
        <v>6.33</v>
      </c>
      <c r="T322" s="102"/>
      <c r="U322" s="103"/>
      <c r="V322" s="104"/>
      <c r="W322" s="105"/>
      <c r="X322" s="103"/>
      <c r="Y322" s="103"/>
      <c r="Z322" s="105"/>
    </row>
    <row r="323" spans="1:26" s="106" customFormat="1" ht="44.25" customHeight="1">
      <c r="A323" s="98">
        <v>31</v>
      </c>
      <c r="B323" s="119" t="s">
        <v>163</v>
      </c>
      <c r="C323" s="424" t="s">
        <v>164</v>
      </c>
      <c r="D323" s="424"/>
      <c r="E323" s="98" t="s">
        <v>50</v>
      </c>
      <c r="F323" s="98" t="s">
        <v>51</v>
      </c>
      <c r="G323" s="113">
        <v>238</v>
      </c>
      <c r="H323" s="178">
        <v>4.99</v>
      </c>
      <c r="I323" s="115"/>
      <c r="J323" s="115"/>
      <c r="K323" s="115"/>
      <c r="L323" s="117"/>
      <c r="M323" s="119">
        <v>21</v>
      </c>
      <c r="N323" s="119">
        <v>2</v>
      </c>
      <c r="O323" s="179">
        <v>476</v>
      </c>
      <c r="P323" s="119">
        <v>0</v>
      </c>
      <c r="Q323" s="119">
        <v>238</v>
      </c>
      <c r="R323" s="119" t="s">
        <v>165</v>
      </c>
      <c r="S323" s="122">
        <v>4.99</v>
      </c>
      <c r="T323" s="102"/>
      <c r="U323" s="103"/>
      <c r="V323" s="104"/>
      <c r="W323" s="105"/>
      <c r="X323" s="103"/>
      <c r="Y323" s="103"/>
      <c r="Z323" s="105"/>
    </row>
    <row r="324" spans="1:26" s="106" customFormat="1" ht="34.5" customHeight="1">
      <c r="A324" s="94">
        <f>A323+1</f>
        <v>32</v>
      </c>
      <c r="B324" s="110" t="s">
        <v>56</v>
      </c>
      <c r="C324" s="111" t="s">
        <v>57</v>
      </c>
      <c r="D324" s="111"/>
      <c r="E324" s="112" t="s">
        <v>50</v>
      </c>
      <c r="F324" s="98"/>
      <c r="G324" s="113">
        <v>971</v>
      </c>
      <c r="H324" s="114">
        <v>28.79</v>
      </c>
      <c r="I324" s="115"/>
      <c r="J324" s="116"/>
      <c r="K324" s="115"/>
      <c r="L324" s="117"/>
      <c r="M324" s="118">
        <v>23</v>
      </c>
      <c r="N324" s="119">
        <v>4</v>
      </c>
      <c r="O324" s="120">
        <f>G324*N324</f>
        <v>3884</v>
      </c>
      <c r="P324" s="121"/>
      <c r="Q324" s="119"/>
      <c r="R324" s="119"/>
      <c r="S324" s="122"/>
      <c r="T324" s="102"/>
      <c r="U324" s="103"/>
      <c r="V324" s="104"/>
      <c r="W324" s="105"/>
      <c r="X324" s="103"/>
      <c r="Y324" s="103"/>
      <c r="Z324" s="105"/>
    </row>
    <row r="325" spans="1:26" s="284" customFormat="1" ht="29.25" customHeight="1">
      <c r="A325" s="272">
        <v>32</v>
      </c>
      <c r="B325" s="273" t="s">
        <v>78</v>
      </c>
      <c r="C325" s="441" t="s">
        <v>79</v>
      </c>
      <c r="D325" s="441"/>
      <c r="E325" s="272" t="s">
        <v>50</v>
      </c>
      <c r="F325" s="272" t="s">
        <v>51</v>
      </c>
      <c r="G325" s="274">
        <v>29.5</v>
      </c>
      <c r="H325" s="275">
        <v>0.413</v>
      </c>
      <c r="I325" s="68"/>
      <c r="J325" s="68"/>
      <c r="K325" s="68"/>
      <c r="L325" s="276"/>
      <c r="M325" s="277">
        <v>14</v>
      </c>
      <c r="N325" s="273">
        <v>2</v>
      </c>
      <c r="O325" s="278">
        <v>59</v>
      </c>
      <c r="P325" s="273"/>
      <c r="Q325" s="273"/>
      <c r="R325" s="273"/>
      <c r="S325" s="279">
        <v>0.413</v>
      </c>
      <c r="T325" s="280"/>
      <c r="U325" s="281"/>
      <c r="V325" s="282"/>
      <c r="W325" s="283"/>
      <c r="X325" s="281"/>
      <c r="Y325" s="281"/>
      <c r="Z325" s="283"/>
    </row>
    <row r="326" spans="1:26" s="284" customFormat="1" ht="29.25" customHeight="1">
      <c r="A326" s="272">
        <v>33</v>
      </c>
      <c r="B326" s="273" t="s">
        <v>98</v>
      </c>
      <c r="C326" s="441" t="s">
        <v>79</v>
      </c>
      <c r="D326" s="441"/>
      <c r="E326" s="272" t="s">
        <v>50</v>
      </c>
      <c r="F326" s="272" t="s">
        <v>51</v>
      </c>
      <c r="G326" s="274">
        <v>29.5</v>
      </c>
      <c r="H326" s="275">
        <v>0.413</v>
      </c>
      <c r="I326" s="68"/>
      <c r="J326" s="68"/>
      <c r="K326" s="68"/>
      <c r="L326" s="276"/>
      <c r="M326" s="277">
        <v>14</v>
      </c>
      <c r="N326" s="273">
        <v>2</v>
      </c>
      <c r="O326" s="278">
        <v>59</v>
      </c>
      <c r="P326" s="273"/>
      <c r="Q326" s="273"/>
      <c r="R326" s="273"/>
      <c r="S326" s="279">
        <v>0.413</v>
      </c>
      <c r="T326" s="280"/>
      <c r="U326" s="281"/>
      <c r="V326" s="282"/>
      <c r="W326" s="283"/>
      <c r="X326" s="281"/>
      <c r="Y326" s="281"/>
      <c r="Z326" s="283"/>
    </row>
    <row r="327" spans="1:26" s="284" customFormat="1" ht="29.25" customHeight="1">
      <c r="A327" s="272">
        <v>34</v>
      </c>
      <c r="B327" s="273" t="s">
        <v>123</v>
      </c>
      <c r="C327" s="441" t="s">
        <v>124</v>
      </c>
      <c r="D327" s="441"/>
      <c r="E327" s="272" t="s">
        <v>50</v>
      </c>
      <c r="F327" s="272" t="s">
        <v>51</v>
      </c>
      <c r="G327" s="274">
        <v>27.7</v>
      </c>
      <c r="H327" s="275">
        <v>0.387</v>
      </c>
      <c r="I327" s="68"/>
      <c r="J327" s="68"/>
      <c r="K327" s="68"/>
      <c r="L327" s="276"/>
      <c r="M327" s="277">
        <v>14</v>
      </c>
      <c r="N327" s="273">
        <v>2</v>
      </c>
      <c r="O327" s="278">
        <v>55</v>
      </c>
      <c r="P327" s="273"/>
      <c r="Q327" s="273"/>
      <c r="R327" s="273"/>
      <c r="S327" s="279"/>
      <c r="T327" s="280"/>
      <c r="U327" s="281"/>
      <c r="V327" s="282"/>
      <c r="W327" s="283"/>
      <c r="X327" s="281"/>
      <c r="Y327" s="281"/>
      <c r="Z327" s="283"/>
    </row>
    <row r="328" spans="1:26" s="284" customFormat="1" ht="29.25" customHeight="1">
      <c r="A328" s="272">
        <v>35</v>
      </c>
      <c r="B328" s="273" t="s">
        <v>152</v>
      </c>
      <c r="C328" s="441" t="s">
        <v>153</v>
      </c>
      <c r="D328" s="441"/>
      <c r="E328" s="272" t="s">
        <v>50</v>
      </c>
      <c r="F328" s="272" t="s">
        <v>51</v>
      </c>
      <c r="G328" s="274">
        <v>26.1</v>
      </c>
      <c r="H328" s="275">
        <v>0.504</v>
      </c>
      <c r="I328" s="68"/>
      <c r="J328" s="68"/>
      <c r="K328" s="68"/>
      <c r="L328" s="276"/>
      <c r="M328" s="277">
        <v>19.3</v>
      </c>
      <c r="N328" s="273">
        <v>2</v>
      </c>
      <c r="O328" s="278">
        <v>52</v>
      </c>
      <c r="P328" s="273"/>
      <c r="Q328" s="273"/>
      <c r="R328" s="273"/>
      <c r="S328" s="279">
        <v>0.504</v>
      </c>
      <c r="T328" s="280"/>
      <c r="U328" s="281"/>
      <c r="V328" s="282"/>
      <c r="W328" s="283"/>
      <c r="X328" s="281"/>
      <c r="Y328" s="281"/>
      <c r="Z328" s="283"/>
    </row>
    <row r="329" spans="1:26" s="295" customFormat="1" ht="42" customHeight="1">
      <c r="A329" s="285"/>
      <c r="B329" s="286" t="s">
        <v>667</v>
      </c>
      <c r="C329" s="287"/>
      <c r="D329" s="287"/>
      <c r="E329" s="285"/>
      <c r="F329" s="285"/>
      <c r="G329" s="288">
        <f>SUM(G317:G328)</f>
        <v>3096.8</v>
      </c>
      <c r="H329" s="289">
        <f>SUM(H317:H328)</f>
        <v>74.675</v>
      </c>
      <c r="I329" s="290"/>
      <c r="J329" s="290"/>
      <c r="K329" s="290"/>
      <c r="L329" s="286"/>
      <c r="M329" s="291"/>
      <c r="N329" s="286"/>
      <c r="O329" s="292"/>
      <c r="P329" s="286"/>
      <c r="Q329" s="286"/>
      <c r="R329" s="286"/>
      <c r="S329" s="293"/>
      <c r="T329" s="293"/>
      <c r="U329" s="290"/>
      <c r="V329" s="294"/>
      <c r="W329" s="286"/>
      <c r="X329" s="290"/>
      <c r="Y329" s="290"/>
      <c r="Z329" s="286"/>
    </row>
    <row r="330" spans="1:26" s="106" customFormat="1" ht="25.5" customHeight="1">
      <c r="A330" s="98">
        <v>38</v>
      </c>
      <c r="B330" s="119" t="s">
        <v>188</v>
      </c>
      <c r="C330" s="424" t="s">
        <v>189</v>
      </c>
      <c r="D330" s="424"/>
      <c r="E330" s="98" t="s">
        <v>172</v>
      </c>
      <c r="F330" s="98" t="s">
        <v>51</v>
      </c>
      <c r="G330" s="113">
        <v>149</v>
      </c>
      <c r="H330" s="178">
        <v>3.13</v>
      </c>
      <c r="I330" s="115"/>
      <c r="J330" s="115"/>
      <c r="K330" s="115"/>
      <c r="L330" s="117"/>
      <c r="M330" s="119">
        <v>21</v>
      </c>
      <c r="N330" s="119">
        <v>2</v>
      </c>
      <c r="O330" s="179">
        <v>298</v>
      </c>
      <c r="P330" s="119">
        <v>0</v>
      </c>
      <c r="Q330" s="119"/>
      <c r="R330" s="119" t="s">
        <v>122</v>
      </c>
      <c r="S330" s="122"/>
      <c r="T330" s="174"/>
      <c r="U330" s="176"/>
      <c r="V330" s="177"/>
      <c r="W330" s="116"/>
      <c r="X330" s="103"/>
      <c r="Y330" s="105"/>
      <c r="Z330" s="105"/>
    </row>
    <row r="331" spans="1:26" s="106" customFormat="1" ht="25.5" customHeight="1">
      <c r="A331" s="98">
        <v>42</v>
      </c>
      <c r="B331" s="119" t="s">
        <v>202</v>
      </c>
      <c r="C331" s="424" t="s">
        <v>203</v>
      </c>
      <c r="D331" s="424"/>
      <c r="E331" s="98" t="s">
        <v>172</v>
      </c>
      <c r="F331" s="98" t="s">
        <v>51</v>
      </c>
      <c r="G331" s="113">
        <v>20</v>
      </c>
      <c r="H331" s="178">
        <v>0.422</v>
      </c>
      <c r="I331" s="115"/>
      <c r="J331" s="115"/>
      <c r="K331" s="115"/>
      <c r="L331" s="117"/>
      <c r="M331" s="119">
        <v>21</v>
      </c>
      <c r="N331" s="119">
        <v>2</v>
      </c>
      <c r="O331" s="179">
        <v>40</v>
      </c>
      <c r="P331" s="119">
        <v>0</v>
      </c>
      <c r="Q331" s="119">
        <v>0</v>
      </c>
      <c r="R331" s="119"/>
      <c r="S331" s="122"/>
      <c r="T331" s="174"/>
      <c r="U331" s="103"/>
      <c r="V331" s="104"/>
      <c r="W331" s="105"/>
      <c r="X331" s="103"/>
      <c r="Y331" s="103"/>
      <c r="Z331" s="105"/>
    </row>
    <row r="332" spans="1:26" s="106" customFormat="1" ht="25.5" customHeight="1">
      <c r="A332" s="98">
        <v>45</v>
      </c>
      <c r="B332" s="119" t="s">
        <v>221</v>
      </c>
      <c r="C332" s="424" t="s">
        <v>222</v>
      </c>
      <c r="D332" s="424"/>
      <c r="E332" s="98" t="s">
        <v>172</v>
      </c>
      <c r="F332" s="98" t="s">
        <v>51</v>
      </c>
      <c r="G332" s="113">
        <v>26</v>
      </c>
      <c r="H332" s="178">
        <v>0.383</v>
      </c>
      <c r="I332" s="115"/>
      <c r="J332" s="115"/>
      <c r="K332" s="115"/>
      <c r="L332" s="117"/>
      <c r="M332" s="119">
        <v>15</v>
      </c>
      <c r="N332" s="119">
        <v>2</v>
      </c>
      <c r="O332" s="179">
        <v>52</v>
      </c>
      <c r="P332" s="119">
        <v>0</v>
      </c>
      <c r="Q332" s="119">
        <v>26</v>
      </c>
      <c r="R332" s="119" t="s">
        <v>114</v>
      </c>
      <c r="S332" s="122"/>
      <c r="T332" s="174"/>
      <c r="U332" s="103"/>
      <c r="V332" s="104"/>
      <c r="W332" s="105"/>
      <c r="X332" s="103"/>
      <c r="Y332" s="105"/>
      <c r="Z332" s="105"/>
    </row>
    <row r="333" spans="1:26" s="106" customFormat="1" ht="32.25" customHeight="1">
      <c r="A333" s="98">
        <v>51</v>
      </c>
      <c r="B333" s="119" t="s">
        <v>228</v>
      </c>
      <c r="C333" s="424" t="s">
        <v>672</v>
      </c>
      <c r="D333" s="424"/>
      <c r="E333" s="98" t="s">
        <v>172</v>
      </c>
      <c r="F333" s="98" t="s">
        <v>51</v>
      </c>
      <c r="G333" s="113">
        <v>58</v>
      </c>
      <c r="H333" s="178">
        <v>0.394</v>
      </c>
      <c r="I333" s="115"/>
      <c r="J333" s="115"/>
      <c r="K333" s="115"/>
      <c r="L333" s="117"/>
      <c r="M333" s="119">
        <v>6.8</v>
      </c>
      <c r="N333" s="119">
        <v>2</v>
      </c>
      <c r="O333" s="179">
        <v>116</v>
      </c>
      <c r="P333" s="119">
        <v>0</v>
      </c>
      <c r="Q333" s="119"/>
      <c r="R333" s="119"/>
      <c r="S333" s="122">
        <v>0.394</v>
      </c>
      <c r="T333" s="174"/>
      <c r="U333" s="103"/>
      <c r="V333" s="104"/>
      <c r="W333" s="105"/>
      <c r="X333" s="103"/>
      <c r="Y333" s="103"/>
      <c r="Z333" s="105"/>
    </row>
    <row r="334" spans="1:26" s="106" customFormat="1" ht="33.75" customHeight="1">
      <c r="A334" s="98">
        <v>52</v>
      </c>
      <c r="B334" s="119" t="s">
        <v>231</v>
      </c>
      <c r="C334" s="433" t="s">
        <v>232</v>
      </c>
      <c r="D334" s="433"/>
      <c r="E334" s="98" t="s">
        <v>172</v>
      </c>
      <c r="F334" s="98" t="s">
        <v>51</v>
      </c>
      <c r="G334" s="113">
        <v>172</v>
      </c>
      <c r="H334" s="178">
        <v>2.75</v>
      </c>
      <c r="I334" s="115"/>
      <c r="J334" s="115"/>
      <c r="K334" s="115"/>
      <c r="L334" s="117"/>
      <c r="M334" s="119">
        <v>16</v>
      </c>
      <c r="N334" s="119">
        <v>2</v>
      </c>
      <c r="O334" s="179">
        <v>344</v>
      </c>
      <c r="P334" s="119">
        <v>0</v>
      </c>
      <c r="Q334" s="119"/>
      <c r="R334" s="119"/>
      <c r="S334" s="122"/>
      <c r="T334" s="174"/>
      <c r="U334" s="176"/>
      <c r="V334" s="177"/>
      <c r="W334" s="115"/>
      <c r="X334" s="103"/>
      <c r="Y334" s="105"/>
      <c r="Z334" s="105"/>
    </row>
    <row r="335" spans="1:26" s="284" customFormat="1" ht="30.75" customHeight="1">
      <c r="A335" s="272">
        <v>69</v>
      </c>
      <c r="B335" s="273" t="s">
        <v>170</v>
      </c>
      <c r="C335" s="441" t="s">
        <v>171</v>
      </c>
      <c r="D335" s="441"/>
      <c r="E335" s="272" t="s">
        <v>172</v>
      </c>
      <c r="F335" s="272" t="s">
        <v>51</v>
      </c>
      <c r="G335" s="274">
        <v>21.2</v>
      </c>
      <c r="H335" s="275">
        <v>0.221</v>
      </c>
      <c r="I335" s="68"/>
      <c r="J335" s="68"/>
      <c r="K335" s="68"/>
      <c r="L335" s="276"/>
      <c r="M335" s="277">
        <v>10.4</v>
      </c>
      <c r="N335" s="273">
        <v>2</v>
      </c>
      <c r="O335" s="278">
        <v>42</v>
      </c>
      <c r="P335" s="273"/>
      <c r="Q335" s="273"/>
      <c r="R335" s="273"/>
      <c r="S335" s="279"/>
      <c r="T335" s="296"/>
      <c r="U335" s="281"/>
      <c r="V335" s="282"/>
      <c r="W335" s="283"/>
      <c r="X335" s="281"/>
      <c r="Y335" s="283"/>
      <c r="Z335" s="283"/>
    </row>
    <row r="336" spans="1:26" s="284" customFormat="1" ht="30.75" customHeight="1">
      <c r="A336" s="272">
        <v>70</v>
      </c>
      <c r="B336" s="273" t="s">
        <v>177</v>
      </c>
      <c r="C336" s="441" t="s">
        <v>178</v>
      </c>
      <c r="D336" s="441"/>
      <c r="E336" s="272" t="s">
        <v>172</v>
      </c>
      <c r="F336" s="272" t="s">
        <v>51</v>
      </c>
      <c r="G336" s="274">
        <v>22.5</v>
      </c>
      <c r="H336" s="275">
        <v>1.732</v>
      </c>
      <c r="I336" s="68"/>
      <c r="J336" s="68"/>
      <c r="K336" s="68"/>
      <c r="L336" s="276"/>
      <c r="M336" s="277">
        <v>77</v>
      </c>
      <c r="N336" s="273">
        <v>2</v>
      </c>
      <c r="O336" s="278">
        <v>45</v>
      </c>
      <c r="P336" s="273"/>
      <c r="Q336" s="273"/>
      <c r="R336" s="273"/>
      <c r="S336" s="279"/>
      <c r="T336" s="296"/>
      <c r="U336" s="281"/>
      <c r="V336" s="282"/>
      <c r="W336" s="283"/>
      <c r="X336" s="281"/>
      <c r="Y336" s="283"/>
      <c r="Z336" s="283"/>
    </row>
    <row r="337" spans="1:26" s="106" customFormat="1" ht="30.75" customHeight="1">
      <c r="A337" s="98">
        <v>72</v>
      </c>
      <c r="B337" s="119" t="s">
        <v>204</v>
      </c>
      <c r="C337" s="111" t="s">
        <v>205</v>
      </c>
      <c r="D337" s="111" t="s">
        <v>206</v>
      </c>
      <c r="E337" s="98" t="s">
        <v>172</v>
      </c>
      <c r="F337" s="98" t="s">
        <v>50</v>
      </c>
      <c r="G337" s="113">
        <v>160</v>
      </c>
      <c r="H337" s="178">
        <v>1.151</v>
      </c>
      <c r="I337" s="115"/>
      <c r="J337" s="115"/>
      <c r="K337" s="115"/>
      <c r="L337" s="117"/>
      <c r="M337" s="119">
        <v>7.2</v>
      </c>
      <c r="N337" s="119">
        <v>2</v>
      </c>
      <c r="O337" s="179">
        <v>320</v>
      </c>
      <c r="P337" s="119"/>
      <c r="Q337" s="119"/>
      <c r="R337" s="119"/>
      <c r="S337" s="122"/>
      <c r="T337" s="174"/>
      <c r="U337" s="103"/>
      <c r="V337" s="104"/>
      <c r="W337" s="105"/>
      <c r="X337" s="103"/>
      <c r="Y337" s="105"/>
      <c r="Z337" s="105"/>
    </row>
    <row r="338" spans="1:26" s="295" customFormat="1" ht="45.75" customHeight="1">
      <c r="A338" s="285"/>
      <c r="B338" s="286" t="s">
        <v>667</v>
      </c>
      <c r="C338" s="287"/>
      <c r="D338" s="287"/>
      <c r="E338" s="285"/>
      <c r="F338" s="285"/>
      <c r="G338" s="288">
        <f>SUM(G330:G337)</f>
        <v>628.7</v>
      </c>
      <c r="H338" s="289">
        <f>SUM(H330:H337)</f>
        <v>10.183</v>
      </c>
      <c r="I338" s="290"/>
      <c r="J338" s="290"/>
      <c r="K338" s="290"/>
      <c r="L338" s="286"/>
      <c r="M338" s="286"/>
      <c r="N338" s="286"/>
      <c r="O338" s="292"/>
      <c r="P338" s="286"/>
      <c r="Q338" s="286"/>
      <c r="R338" s="286"/>
      <c r="S338" s="293"/>
      <c r="T338" s="297"/>
      <c r="U338" s="290"/>
      <c r="V338" s="294"/>
      <c r="W338" s="286"/>
      <c r="X338" s="290"/>
      <c r="Y338" s="286"/>
      <c r="Z338" s="286"/>
    </row>
    <row r="339" spans="1:26" s="106" customFormat="1" ht="27" customHeight="1">
      <c r="A339" s="98">
        <v>88</v>
      </c>
      <c r="B339" s="119" t="s">
        <v>438</v>
      </c>
      <c r="C339" s="424" t="s">
        <v>439</v>
      </c>
      <c r="D339" s="424"/>
      <c r="E339" s="98" t="s">
        <v>329</v>
      </c>
      <c r="F339" s="98" t="s">
        <v>51</v>
      </c>
      <c r="G339" s="113">
        <v>47</v>
      </c>
      <c r="H339" s="178">
        <v>0.658</v>
      </c>
      <c r="I339" s="115"/>
      <c r="J339" s="115"/>
      <c r="K339" s="115"/>
      <c r="L339" s="117"/>
      <c r="M339" s="119">
        <v>14</v>
      </c>
      <c r="N339" s="119">
        <v>2</v>
      </c>
      <c r="O339" s="179">
        <v>94</v>
      </c>
      <c r="P339" s="119">
        <v>0</v>
      </c>
      <c r="Q339" s="119">
        <v>0</v>
      </c>
      <c r="R339" s="119"/>
      <c r="S339" s="122"/>
      <c r="T339" s="102"/>
      <c r="U339" s="103"/>
      <c r="V339" s="104"/>
      <c r="W339" s="105"/>
      <c r="X339" s="103"/>
      <c r="Y339" s="105"/>
      <c r="Z339" s="105"/>
    </row>
    <row r="340" spans="1:26" s="284" customFormat="1" ht="27" customHeight="1">
      <c r="A340" s="272">
        <v>100</v>
      </c>
      <c r="B340" s="273" t="s">
        <v>327</v>
      </c>
      <c r="C340" s="441" t="s">
        <v>328</v>
      </c>
      <c r="D340" s="441"/>
      <c r="E340" s="272" t="s">
        <v>329</v>
      </c>
      <c r="F340" s="272" t="s">
        <v>51</v>
      </c>
      <c r="G340" s="274">
        <v>23.9</v>
      </c>
      <c r="H340" s="275">
        <v>0.143</v>
      </c>
      <c r="I340" s="68"/>
      <c r="J340" s="68"/>
      <c r="K340" s="68"/>
      <c r="L340" s="276"/>
      <c r="M340" s="277">
        <v>6</v>
      </c>
      <c r="N340" s="273">
        <v>2</v>
      </c>
      <c r="O340" s="278">
        <v>48</v>
      </c>
      <c r="P340" s="273"/>
      <c r="Q340" s="273"/>
      <c r="R340" s="273"/>
      <c r="S340" s="279">
        <v>0.143</v>
      </c>
      <c r="T340" s="280"/>
      <c r="U340" s="281"/>
      <c r="V340" s="282"/>
      <c r="W340" s="283"/>
      <c r="X340" s="281"/>
      <c r="Y340" s="283"/>
      <c r="Z340" s="283"/>
    </row>
    <row r="341" spans="1:26" s="284" customFormat="1" ht="27" customHeight="1">
      <c r="A341" s="272">
        <v>101</v>
      </c>
      <c r="B341" s="273" t="s">
        <v>332</v>
      </c>
      <c r="C341" s="441" t="s">
        <v>333</v>
      </c>
      <c r="D341" s="441"/>
      <c r="E341" s="272" t="s">
        <v>329</v>
      </c>
      <c r="F341" s="272" t="s">
        <v>51</v>
      </c>
      <c r="G341" s="274">
        <v>3.9</v>
      </c>
      <c r="H341" s="275">
        <v>0.03</v>
      </c>
      <c r="I341" s="68"/>
      <c r="J341" s="68"/>
      <c r="K341" s="68"/>
      <c r="L341" s="276"/>
      <c r="M341" s="277">
        <v>7.7</v>
      </c>
      <c r="N341" s="273">
        <v>2</v>
      </c>
      <c r="O341" s="278">
        <v>8</v>
      </c>
      <c r="P341" s="273"/>
      <c r="Q341" s="273"/>
      <c r="R341" s="273"/>
      <c r="S341" s="279">
        <v>0.03</v>
      </c>
      <c r="T341" s="280"/>
      <c r="U341" s="281"/>
      <c r="V341" s="282"/>
      <c r="W341" s="283"/>
      <c r="X341" s="281"/>
      <c r="Y341" s="283"/>
      <c r="Z341" s="283"/>
    </row>
    <row r="342" spans="1:26" s="284" customFormat="1" ht="27" customHeight="1">
      <c r="A342" s="272">
        <v>102</v>
      </c>
      <c r="B342" s="273" t="s">
        <v>336</v>
      </c>
      <c r="C342" s="441" t="s">
        <v>333</v>
      </c>
      <c r="D342" s="441"/>
      <c r="E342" s="272" t="s">
        <v>329</v>
      </c>
      <c r="F342" s="272" t="s">
        <v>51</v>
      </c>
      <c r="G342" s="274">
        <v>3.9</v>
      </c>
      <c r="H342" s="275">
        <v>0.03</v>
      </c>
      <c r="I342" s="68"/>
      <c r="J342" s="68"/>
      <c r="K342" s="68"/>
      <c r="L342" s="276"/>
      <c r="M342" s="277">
        <v>7.7</v>
      </c>
      <c r="N342" s="273">
        <v>2</v>
      </c>
      <c r="O342" s="278">
        <v>8</v>
      </c>
      <c r="P342" s="273"/>
      <c r="Q342" s="273"/>
      <c r="R342" s="273"/>
      <c r="S342" s="279">
        <v>0.03</v>
      </c>
      <c r="T342" s="280"/>
      <c r="U342" s="281"/>
      <c r="V342" s="282"/>
      <c r="W342" s="283"/>
      <c r="X342" s="281"/>
      <c r="Y342" s="283"/>
      <c r="Z342" s="283"/>
    </row>
    <row r="343" spans="1:26" s="284" customFormat="1" ht="27" customHeight="1">
      <c r="A343" s="272">
        <v>103</v>
      </c>
      <c r="B343" s="273" t="s">
        <v>360</v>
      </c>
      <c r="C343" s="441" t="s">
        <v>361</v>
      </c>
      <c r="D343" s="441"/>
      <c r="E343" s="272" t="s">
        <v>329</v>
      </c>
      <c r="F343" s="272" t="s">
        <v>51</v>
      </c>
      <c r="G343" s="274">
        <v>29.1</v>
      </c>
      <c r="H343" s="275">
        <v>0.364</v>
      </c>
      <c r="I343" s="68"/>
      <c r="J343" s="68"/>
      <c r="K343" s="68"/>
      <c r="L343" s="276"/>
      <c r="M343" s="277">
        <v>12.5</v>
      </c>
      <c r="N343" s="273">
        <v>2</v>
      </c>
      <c r="O343" s="278">
        <v>58</v>
      </c>
      <c r="P343" s="273"/>
      <c r="Q343" s="273"/>
      <c r="R343" s="273"/>
      <c r="S343" s="279"/>
      <c r="T343" s="280"/>
      <c r="U343" s="281"/>
      <c r="V343" s="282"/>
      <c r="W343" s="283"/>
      <c r="X343" s="281"/>
      <c r="Y343" s="283"/>
      <c r="Z343" s="283"/>
    </row>
    <row r="344" spans="1:26" s="284" customFormat="1" ht="27" customHeight="1">
      <c r="A344" s="272">
        <v>104</v>
      </c>
      <c r="B344" s="273" t="s">
        <v>500</v>
      </c>
      <c r="C344" s="441" t="s">
        <v>501</v>
      </c>
      <c r="D344" s="441"/>
      <c r="E344" s="272" t="s">
        <v>329</v>
      </c>
      <c r="F344" s="272" t="s">
        <v>51</v>
      </c>
      <c r="G344" s="274">
        <v>54.5</v>
      </c>
      <c r="H344" s="275">
        <v>0.381</v>
      </c>
      <c r="I344" s="68"/>
      <c r="J344" s="68"/>
      <c r="K344" s="68"/>
      <c r="L344" s="276"/>
      <c r="M344" s="277">
        <v>7</v>
      </c>
      <c r="N344" s="273">
        <v>2</v>
      </c>
      <c r="O344" s="278">
        <v>109</v>
      </c>
      <c r="P344" s="273"/>
      <c r="Q344" s="273"/>
      <c r="R344" s="273"/>
      <c r="S344" s="279"/>
      <c r="T344" s="280"/>
      <c r="U344" s="281"/>
      <c r="V344" s="282"/>
      <c r="W344" s="283"/>
      <c r="X344" s="281"/>
      <c r="Y344" s="283"/>
      <c r="Z344" s="283"/>
    </row>
    <row r="345" spans="1:26" s="106" customFormat="1" ht="27" customHeight="1">
      <c r="A345" s="98">
        <v>107</v>
      </c>
      <c r="B345" s="119" t="s">
        <v>375</v>
      </c>
      <c r="C345" s="424" t="s">
        <v>376</v>
      </c>
      <c r="D345" s="424"/>
      <c r="E345" s="98" t="s">
        <v>329</v>
      </c>
      <c r="F345" s="98" t="s">
        <v>50</v>
      </c>
      <c r="G345" s="113">
        <v>306</v>
      </c>
      <c r="H345" s="178">
        <v>4.88</v>
      </c>
      <c r="I345" s="115"/>
      <c r="J345" s="115"/>
      <c r="K345" s="115"/>
      <c r="L345" s="117"/>
      <c r="M345" s="119">
        <v>16</v>
      </c>
      <c r="N345" s="119">
        <v>2</v>
      </c>
      <c r="O345" s="179">
        <v>612</v>
      </c>
      <c r="P345" s="119"/>
      <c r="Q345" s="119"/>
      <c r="R345" s="119"/>
      <c r="S345" s="122"/>
      <c r="T345" s="102"/>
      <c r="U345" s="103"/>
      <c r="V345" s="104"/>
      <c r="W345" s="105"/>
      <c r="X345" s="103"/>
      <c r="Y345" s="105"/>
      <c r="Z345" s="105"/>
    </row>
    <row r="346" spans="1:26" s="106" customFormat="1" ht="27" customHeight="1">
      <c r="A346" s="98">
        <v>172</v>
      </c>
      <c r="B346" s="119" t="s">
        <v>339</v>
      </c>
      <c r="C346" s="424" t="s">
        <v>340</v>
      </c>
      <c r="D346" s="424"/>
      <c r="E346" s="98" t="s">
        <v>329</v>
      </c>
      <c r="F346" s="98" t="s">
        <v>50</v>
      </c>
      <c r="G346" s="113">
        <v>17</v>
      </c>
      <c r="H346" s="178">
        <v>0.104</v>
      </c>
      <c r="I346" s="115"/>
      <c r="J346" s="115"/>
      <c r="K346" s="115"/>
      <c r="L346" s="117"/>
      <c r="M346" s="119">
        <v>6</v>
      </c>
      <c r="N346" s="119"/>
      <c r="O346" s="179">
        <v>0</v>
      </c>
      <c r="P346" s="119"/>
      <c r="Q346" s="119"/>
      <c r="R346" s="119"/>
      <c r="S346" s="122"/>
      <c r="T346" s="102"/>
      <c r="U346" s="103"/>
      <c r="V346" s="104"/>
      <c r="W346" s="105"/>
      <c r="X346" s="103"/>
      <c r="Y346" s="105"/>
      <c r="Z346" s="105"/>
    </row>
    <row r="347" spans="1:26" s="284" customFormat="1" ht="27" customHeight="1">
      <c r="A347" s="272">
        <v>179</v>
      </c>
      <c r="B347" s="273" t="s">
        <v>330</v>
      </c>
      <c r="C347" s="441" t="s">
        <v>331</v>
      </c>
      <c r="D347" s="441"/>
      <c r="E347" s="272" t="s">
        <v>329</v>
      </c>
      <c r="F347" s="272" t="s">
        <v>50</v>
      </c>
      <c r="G347" s="274">
        <v>22.1</v>
      </c>
      <c r="H347" s="275">
        <v>0.2</v>
      </c>
      <c r="I347" s="68"/>
      <c r="J347" s="68"/>
      <c r="K347" s="68"/>
      <c r="L347" s="276"/>
      <c r="M347" s="277">
        <v>9</v>
      </c>
      <c r="N347" s="273">
        <v>2</v>
      </c>
      <c r="O347" s="278">
        <v>43</v>
      </c>
      <c r="P347" s="273">
        <v>43</v>
      </c>
      <c r="Q347" s="273"/>
      <c r="R347" s="273"/>
      <c r="S347" s="279">
        <v>0.2</v>
      </c>
      <c r="T347" s="280"/>
      <c r="U347" s="281"/>
      <c r="V347" s="282"/>
      <c r="W347" s="283"/>
      <c r="X347" s="281"/>
      <c r="Y347" s="283"/>
      <c r="Z347" s="283"/>
    </row>
    <row r="348" spans="1:26" s="301" customFormat="1" ht="46.5" customHeight="1">
      <c r="A348" s="285"/>
      <c r="B348" s="286" t="s">
        <v>667</v>
      </c>
      <c r="C348" s="287"/>
      <c r="D348" s="287"/>
      <c r="E348" s="285"/>
      <c r="F348" s="285"/>
      <c r="G348" s="288">
        <f>SUM(G339:G347)</f>
        <v>507.4</v>
      </c>
      <c r="H348" s="289">
        <f>SUM(H339:H347)</f>
        <v>6.79</v>
      </c>
      <c r="I348" s="290"/>
      <c r="J348" s="290"/>
      <c r="K348" s="290"/>
      <c r="L348" s="286"/>
      <c r="M348" s="291"/>
      <c r="N348" s="286"/>
      <c r="O348" s="292"/>
      <c r="P348" s="286"/>
      <c r="Q348" s="286"/>
      <c r="R348" s="286"/>
      <c r="S348" s="293"/>
      <c r="T348" s="293"/>
      <c r="U348" s="298"/>
      <c r="V348" s="299"/>
      <c r="W348" s="300"/>
      <c r="X348" s="298"/>
      <c r="Y348" s="300"/>
      <c r="Z348" s="300"/>
    </row>
    <row r="349" spans="1:24" s="303" customFormat="1" ht="31.5" customHeight="1">
      <c r="A349" s="302"/>
      <c r="B349" s="303" t="s">
        <v>673</v>
      </c>
      <c r="C349" s="304"/>
      <c r="D349" s="304"/>
      <c r="F349" s="302"/>
      <c r="G349" s="305">
        <f>G329+G338+G348</f>
        <v>4232.9</v>
      </c>
      <c r="H349" s="302">
        <f>H329+H338+H348</f>
        <v>91.648</v>
      </c>
      <c r="I349" s="306"/>
      <c r="J349" s="306"/>
      <c r="K349" s="306"/>
      <c r="U349" s="306"/>
      <c r="V349" s="307"/>
      <c r="X349" s="306"/>
    </row>
    <row r="350" spans="1:24" s="11" customFormat="1" ht="15.75" customHeight="1">
      <c r="A350" s="268"/>
      <c r="C350" s="269"/>
      <c r="D350" s="269"/>
      <c r="F350" s="268"/>
      <c r="G350" s="270"/>
      <c r="H350" s="268"/>
      <c r="I350" s="271"/>
      <c r="J350" s="271"/>
      <c r="K350" s="271"/>
      <c r="U350" s="267"/>
      <c r="V350" s="20"/>
      <c r="X350" s="267"/>
    </row>
    <row r="351" spans="1:24" s="11" customFormat="1" ht="15.75" customHeight="1">
      <c r="A351" s="268"/>
      <c r="B351" s="308"/>
      <c r="C351" s="444" t="s">
        <v>674</v>
      </c>
      <c r="D351" s="444"/>
      <c r="E351" s="444"/>
      <c r="F351" s="444"/>
      <c r="G351" s="444"/>
      <c r="H351" s="444"/>
      <c r="I351" s="444"/>
      <c r="J351" s="444"/>
      <c r="K351" s="444"/>
      <c r="U351" s="267"/>
      <c r="V351" s="20"/>
      <c r="X351" s="267"/>
    </row>
    <row r="352" spans="1:24" s="11" customFormat="1" ht="31.5">
      <c r="A352" s="268"/>
      <c r="B352" s="309"/>
      <c r="C352" s="310" t="s">
        <v>675</v>
      </c>
      <c r="D352" s="310" t="s">
        <v>676</v>
      </c>
      <c r="E352" s="310" t="s">
        <v>677</v>
      </c>
      <c r="F352" s="310" t="s">
        <v>677</v>
      </c>
      <c r="G352" s="311" t="s">
        <v>678</v>
      </c>
      <c r="H352" s="312" t="s">
        <v>679</v>
      </c>
      <c r="I352" s="313" t="s">
        <v>680</v>
      </c>
      <c r="J352" s="313"/>
      <c r="K352" s="313"/>
      <c r="U352" s="267"/>
      <c r="V352" s="20"/>
      <c r="X352" s="267"/>
    </row>
    <row r="353" spans="1:24" s="11" customFormat="1" ht="15.75" customHeight="1">
      <c r="A353" s="268"/>
      <c r="B353" s="309"/>
      <c r="C353" s="314">
        <v>114593</v>
      </c>
      <c r="D353" s="315">
        <f>1358.601+44.031+36.335</f>
        <v>1438.967</v>
      </c>
      <c r="E353" s="316">
        <v>36.335</v>
      </c>
      <c r="F353" s="317">
        <v>36.335</v>
      </c>
      <c r="G353" s="315">
        <v>2.371</v>
      </c>
      <c r="H353" s="318">
        <v>4.654</v>
      </c>
      <c r="I353" s="317">
        <v>1.8</v>
      </c>
      <c r="J353" s="319"/>
      <c r="K353" s="319"/>
      <c r="U353" s="267"/>
      <c r="V353" s="20"/>
      <c r="X353" s="267"/>
    </row>
    <row r="354" spans="1:24" s="11" customFormat="1" ht="15.75" customHeight="1">
      <c r="A354" s="268"/>
      <c r="B354" s="309"/>
      <c r="C354" s="314"/>
      <c r="D354" s="316"/>
      <c r="E354" s="316"/>
      <c r="F354" s="317"/>
      <c r="G354" s="314"/>
      <c r="H354" s="318"/>
      <c r="I354" s="319"/>
      <c r="J354" s="319"/>
      <c r="K354" s="319"/>
      <c r="U354" s="267"/>
      <c r="V354" s="20"/>
      <c r="X354" s="267"/>
    </row>
    <row r="355" spans="1:24" s="11" customFormat="1" ht="15.75" customHeight="1">
      <c r="A355" s="268"/>
      <c r="B355" s="309"/>
      <c r="C355" s="442" t="s">
        <v>681</v>
      </c>
      <c r="D355" s="442"/>
      <c r="E355" s="442"/>
      <c r="F355" s="442"/>
      <c r="G355" s="442"/>
      <c r="H355" s="442"/>
      <c r="I355" s="442"/>
      <c r="J355" s="442"/>
      <c r="K355" s="442"/>
      <c r="U355" s="267"/>
      <c r="V355" s="20"/>
      <c r="X355" s="267"/>
    </row>
    <row r="356" spans="1:24" s="11" customFormat="1" ht="31.5">
      <c r="A356" s="268"/>
      <c r="B356" s="320"/>
      <c r="C356" s="310" t="s">
        <v>675</v>
      </c>
      <c r="D356" s="310" t="s">
        <v>676</v>
      </c>
      <c r="E356" s="310" t="s">
        <v>677</v>
      </c>
      <c r="F356" s="310" t="s">
        <v>677</v>
      </c>
      <c r="G356" s="311" t="s">
        <v>678</v>
      </c>
      <c r="H356" s="312" t="s">
        <v>679</v>
      </c>
      <c r="I356" s="313" t="s">
        <v>680</v>
      </c>
      <c r="J356" s="313"/>
      <c r="K356" s="313"/>
      <c r="U356" s="267"/>
      <c r="V356" s="20"/>
      <c r="X356" s="267"/>
    </row>
    <row r="357" spans="1:24" s="11" customFormat="1" ht="15.75" customHeight="1">
      <c r="A357" s="268"/>
      <c r="B357" s="321"/>
      <c r="C357" s="314">
        <f>G308</f>
        <v>118825.9</v>
      </c>
      <c r="D357" s="315">
        <f>H308</f>
        <v>1530.615</v>
      </c>
      <c r="E357" s="316">
        <f>J308</f>
        <v>36.335</v>
      </c>
      <c r="F357" s="316">
        <f>J308</f>
        <v>36.335</v>
      </c>
      <c r="G357" s="315">
        <f>I308</f>
        <v>2.371</v>
      </c>
      <c r="H357" s="322">
        <f>K308</f>
        <v>4.654</v>
      </c>
      <c r="I357" s="316">
        <f>L308</f>
        <v>1.8</v>
      </c>
      <c r="J357" s="316"/>
      <c r="K357" s="316"/>
      <c r="U357" s="267"/>
      <c r="V357" s="20"/>
      <c r="X357" s="267"/>
    </row>
    <row r="358" spans="1:24" s="11" customFormat="1" ht="15.75" customHeight="1">
      <c r="A358" s="268"/>
      <c r="B358" s="321"/>
      <c r="C358" s="315"/>
      <c r="D358" s="316"/>
      <c r="E358" s="316"/>
      <c r="F358" s="47"/>
      <c r="G358" s="314"/>
      <c r="H358" s="323"/>
      <c r="I358" s="47"/>
      <c r="J358" s="47"/>
      <c r="K358" s="47"/>
      <c r="U358" s="267"/>
      <c r="V358" s="20"/>
      <c r="X358" s="267"/>
    </row>
    <row r="359" spans="1:24" s="11" customFormat="1" ht="15.75" customHeight="1">
      <c r="A359" s="268"/>
      <c r="B359" s="309"/>
      <c r="C359" s="445" t="s">
        <v>682</v>
      </c>
      <c r="D359" s="445"/>
      <c r="E359" s="445"/>
      <c r="F359" s="445"/>
      <c r="G359" s="445"/>
      <c r="H359" s="445"/>
      <c r="I359" s="445"/>
      <c r="J359" s="445"/>
      <c r="K359" s="445"/>
      <c r="U359" s="267"/>
      <c r="V359" s="20"/>
      <c r="X359" s="267"/>
    </row>
    <row r="360" spans="1:24" s="11" customFormat="1" ht="31.5">
      <c r="A360" s="268"/>
      <c r="B360" s="309"/>
      <c r="C360" s="310" t="s">
        <v>675</v>
      </c>
      <c r="D360" s="310" t="s">
        <v>676</v>
      </c>
      <c r="E360" s="310" t="s">
        <v>677</v>
      </c>
      <c r="F360" s="310" t="s">
        <v>677</v>
      </c>
      <c r="G360" s="311" t="s">
        <v>678</v>
      </c>
      <c r="H360" s="312" t="s">
        <v>679</v>
      </c>
      <c r="I360" s="313" t="s">
        <v>680</v>
      </c>
      <c r="J360" s="313"/>
      <c r="K360" s="313"/>
      <c r="U360" s="267"/>
      <c r="V360" s="20"/>
      <c r="X360" s="267"/>
    </row>
    <row r="361" spans="1:24" s="11" customFormat="1" ht="15.75" customHeight="1">
      <c r="A361" s="268"/>
      <c r="B361" s="316" t="s">
        <v>683</v>
      </c>
      <c r="C361" s="314">
        <f>G349</f>
        <v>4232.9</v>
      </c>
      <c r="D361" s="315">
        <f>H349</f>
        <v>91.648</v>
      </c>
      <c r="E361" s="316"/>
      <c r="F361" s="316"/>
      <c r="G361" s="315"/>
      <c r="H361" s="322"/>
      <c r="I361" s="316">
        <v>0</v>
      </c>
      <c r="J361" s="316"/>
      <c r="K361" s="316"/>
      <c r="U361" s="267"/>
      <c r="V361" s="20"/>
      <c r="X361" s="267"/>
    </row>
    <row r="362" spans="1:24" s="11" customFormat="1" ht="15.75" customHeight="1">
      <c r="A362" s="268"/>
      <c r="B362" s="324"/>
      <c r="C362" s="314"/>
      <c r="D362" s="315"/>
      <c r="E362" s="316"/>
      <c r="F362" s="316"/>
      <c r="G362" s="314"/>
      <c r="H362" s="322"/>
      <c r="I362" s="316"/>
      <c r="J362" s="316"/>
      <c r="K362" s="316"/>
      <c r="U362" s="267"/>
      <c r="V362" s="20"/>
      <c r="X362" s="267"/>
    </row>
    <row r="363" spans="1:24" s="11" customFormat="1" ht="15.75" customHeight="1">
      <c r="A363" s="268"/>
      <c r="B363" s="325"/>
      <c r="C363" s="314"/>
      <c r="D363" s="316"/>
      <c r="E363" s="316"/>
      <c r="F363" s="47"/>
      <c r="G363" s="314"/>
      <c r="H363" s="323"/>
      <c r="I363" s="47"/>
      <c r="J363" s="47"/>
      <c r="K363" s="47"/>
      <c r="U363" s="267"/>
      <c r="V363" s="20"/>
      <c r="X363" s="267"/>
    </row>
    <row r="364" spans="1:24" s="11" customFormat="1" ht="15.75" customHeight="1">
      <c r="A364" s="268"/>
      <c r="B364" s="47"/>
      <c r="C364" s="442" t="s">
        <v>684</v>
      </c>
      <c r="D364" s="442"/>
      <c r="E364" s="442"/>
      <c r="F364" s="442"/>
      <c r="G364" s="442"/>
      <c r="H364" s="442"/>
      <c r="I364" s="442"/>
      <c r="J364" s="442"/>
      <c r="K364" s="442"/>
      <c r="U364" s="267"/>
      <c r="V364" s="20"/>
      <c r="X364" s="267"/>
    </row>
    <row r="365" spans="1:24" s="11" customFormat="1" ht="31.5">
      <c r="A365" s="268"/>
      <c r="B365" s="47"/>
      <c r="C365" s="310" t="s">
        <v>675</v>
      </c>
      <c r="D365" s="310" t="s">
        <v>676</v>
      </c>
      <c r="E365" s="310" t="s">
        <v>677</v>
      </c>
      <c r="F365" s="310" t="s">
        <v>677</v>
      </c>
      <c r="G365" s="311" t="s">
        <v>678</v>
      </c>
      <c r="H365" s="312" t="s">
        <v>679</v>
      </c>
      <c r="I365" s="313" t="s">
        <v>680</v>
      </c>
      <c r="J365" s="313"/>
      <c r="K365" s="313"/>
      <c r="U365" s="267"/>
      <c r="V365" s="20"/>
      <c r="X365" s="267"/>
    </row>
    <row r="366" spans="1:24" s="11" customFormat="1" ht="15.75" customHeight="1">
      <c r="A366" s="268"/>
      <c r="B366" s="326"/>
      <c r="C366" s="327">
        <f aca="true" t="shared" si="21" ref="C366:I366">(C353+C361+C362+C363)-C357</f>
        <v>0</v>
      </c>
      <c r="D366" s="328">
        <f t="shared" si="21"/>
        <v>0</v>
      </c>
      <c r="E366" s="329">
        <f t="shared" si="21"/>
        <v>0</v>
      </c>
      <c r="F366" s="328">
        <f t="shared" si="21"/>
        <v>0</v>
      </c>
      <c r="G366" s="328">
        <f t="shared" si="21"/>
        <v>0</v>
      </c>
      <c r="H366" s="330">
        <f t="shared" si="21"/>
        <v>0</v>
      </c>
      <c r="I366" s="330">
        <f t="shared" si="21"/>
        <v>0</v>
      </c>
      <c r="J366" s="328"/>
      <c r="K366" s="328"/>
      <c r="U366" s="267"/>
      <c r="V366" s="20"/>
      <c r="X366" s="267"/>
    </row>
    <row r="367" spans="1:24" s="11" customFormat="1" ht="15.75" customHeight="1">
      <c r="A367" s="268"/>
      <c r="C367" s="269"/>
      <c r="D367" s="269"/>
      <c r="F367" s="268"/>
      <c r="G367" s="270"/>
      <c r="H367" s="268"/>
      <c r="I367" s="271"/>
      <c r="J367" s="271"/>
      <c r="K367" s="271"/>
      <c r="U367" s="267"/>
      <c r="V367" s="20"/>
      <c r="X367" s="267"/>
    </row>
    <row r="368" spans="1:24" s="11" customFormat="1" ht="15.75" customHeight="1">
      <c r="A368" s="268"/>
      <c r="C368" s="269"/>
      <c r="D368" s="269"/>
      <c r="F368" s="268"/>
      <c r="G368" s="270"/>
      <c r="H368" s="268"/>
      <c r="I368" s="271"/>
      <c r="J368" s="271"/>
      <c r="K368" s="271"/>
      <c r="U368" s="267"/>
      <c r="V368" s="20"/>
      <c r="X368" s="267"/>
    </row>
    <row r="369" spans="3:23" s="12" customFormat="1" ht="18.75">
      <c r="C369" s="331"/>
      <c r="D369" s="332"/>
      <c r="E369" s="333"/>
      <c r="G369" s="334"/>
      <c r="H369" s="11"/>
      <c r="I369" s="335"/>
      <c r="J369" s="335"/>
      <c r="K369" s="335"/>
      <c r="L369" s="269"/>
      <c r="M369" s="336"/>
      <c r="N369" s="337"/>
      <c r="O369" s="337"/>
      <c r="P369" s="29"/>
      <c r="Q369" s="268"/>
      <c r="R369" s="29"/>
      <c r="S369" s="29"/>
      <c r="T369" s="29"/>
      <c r="U369" s="338"/>
      <c r="V369" s="2"/>
      <c r="W369" s="2"/>
    </row>
    <row r="370" spans="1:26" ht="27" customHeight="1">
      <c r="A370" s="30">
        <f>A190+1</f>
        <v>121</v>
      </c>
      <c r="B370" s="71" t="s">
        <v>685</v>
      </c>
      <c r="C370" s="169" t="s">
        <v>686</v>
      </c>
      <c r="D370" s="52" t="s">
        <v>687</v>
      </c>
      <c r="E370" s="30" t="s">
        <v>329</v>
      </c>
      <c r="F370" s="22" t="s">
        <v>50</v>
      </c>
      <c r="G370" s="67">
        <v>96</v>
      </c>
      <c r="H370" s="55">
        <v>0.672</v>
      </c>
      <c r="I370" s="140"/>
      <c r="J370" s="57"/>
      <c r="K370" s="140"/>
      <c r="L370" s="69"/>
      <c r="M370" s="71">
        <v>7</v>
      </c>
      <c r="N370" s="71">
        <v>2</v>
      </c>
      <c r="O370" s="60">
        <v>192</v>
      </c>
      <c r="P370" s="59"/>
      <c r="Q370" s="71"/>
      <c r="R370" s="71"/>
      <c r="S370" s="72"/>
      <c r="T370" s="62"/>
      <c r="U370" s="63"/>
      <c r="V370" s="64"/>
      <c r="W370" s="65"/>
      <c r="X370" s="63"/>
      <c r="Y370" s="65"/>
      <c r="Z370" s="65"/>
    </row>
    <row r="371" spans="2:23" s="12" customFormat="1" ht="18.75">
      <c r="B371" s="12" t="s">
        <v>688</v>
      </c>
      <c r="C371" s="331"/>
      <c r="D371" s="339"/>
      <c r="E371" s="340"/>
      <c r="F371" s="341"/>
      <c r="G371" s="334"/>
      <c r="H371" s="342"/>
      <c r="I371" s="335"/>
      <c r="J371" s="335"/>
      <c r="K371" s="335"/>
      <c r="L371" s="343"/>
      <c r="M371" s="336"/>
      <c r="N371" s="344"/>
      <c r="O371" s="344"/>
      <c r="P371" s="333"/>
      <c r="R371" s="345"/>
      <c r="S371" s="346"/>
      <c r="T371" s="346"/>
      <c r="U371" s="347"/>
      <c r="V371" s="7"/>
      <c r="W371" s="348"/>
    </row>
    <row r="372" spans="3:23" s="12" customFormat="1" ht="18.75">
      <c r="C372" s="349"/>
      <c r="D372" s="339"/>
      <c r="E372" s="340"/>
      <c r="F372" s="341"/>
      <c r="G372" s="334"/>
      <c r="H372" s="342"/>
      <c r="I372" s="335"/>
      <c r="J372" s="335"/>
      <c r="K372" s="335"/>
      <c r="L372" s="343"/>
      <c r="M372" s="336"/>
      <c r="N372" s="344"/>
      <c r="O372" s="344"/>
      <c r="P372" s="333"/>
      <c r="R372" s="345"/>
      <c r="S372" s="346"/>
      <c r="T372" s="346"/>
      <c r="U372" s="347"/>
      <c r="V372" s="7"/>
      <c r="W372" s="348"/>
    </row>
    <row r="373" spans="3:23" s="12" customFormat="1" ht="18.75">
      <c r="C373" s="331"/>
      <c r="D373" s="339"/>
      <c r="E373" s="340"/>
      <c r="F373" s="341"/>
      <c r="G373" s="334"/>
      <c r="H373" s="342"/>
      <c r="I373" s="335"/>
      <c r="J373" s="335"/>
      <c r="K373" s="335"/>
      <c r="L373" s="350"/>
      <c r="M373" s="336"/>
      <c r="N373" s="351"/>
      <c r="O373" s="352"/>
      <c r="P373" s="353"/>
      <c r="Q373" s="7"/>
      <c r="R373" s="354"/>
      <c r="S373" s="346"/>
      <c r="T373" s="346"/>
      <c r="U373" s="355"/>
      <c r="V373" s="2"/>
      <c r="W373" s="2"/>
    </row>
    <row r="374" spans="3:23" s="12" customFormat="1" ht="18.75">
      <c r="C374" s="331"/>
      <c r="D374" s="339"/>
      <c r="E374" s="340"/>
      <c r="F374" s="341"/>
      <c r="G374" s="334"/>
      <c r="H374" s="342"/>
      <c r="I374" s="335"/>
      <c r="J374" s="335"/>
      <c r="K374" s="335"/>
      <c r="L374" s="350"/>
      <c r="M374" s="336"/>
      <c r="N374" s="356"/>
      <c r="O374" s="352"/>
      <c r="P374" s="353"/>
      <c r="Q374" s="7"/>
      <c r="R374" s="354"/>
      <c r="S374" s="346"/>
      <c r="T374" s="346"/>
      <c r="U374" s="357"/>
      <c r="V374" s="2"/>
      <c r="W374" s="2"/>
    </row>
    <row r="375" spans="3:23" s="12" customFormat="1" ht="18.75">
      <c r="C375" s="331"/>
      <c r="D375" s="332"/>
      <c r="E375" s="358"/>
      <c r="F375" s="341"/>
      <c r="G375" s="334"/>
      <c r="H375" s="342"/>
      <c r="I375" s="335"/>
      <c r="J375" s="335"/>
      <c r="K375" s="335"/>
      <c r="L375" s="350"/>
      <c r="M375" s="336"/>
      <c r="N375" s="356"/>
      <c r="O375" s="347"/>
      <c r="P375" s="353"/>
      <c r="Q375" s="7"/>
      <c r="R375" s="354"/>
      <c r="S375" s="346"/>
      <c r="T375" s="346"/>
      <c r="U375" s="355"/>
      <c r="V375" s="2"/>
      <c r="W375" s="2"/>
    </row>
    <row r="376" spans="3:23" s="12" customFormat="1" ht="18.75">
      <c r="C376" s="331"/>
      <c r="D376" s="339"/>
      <c r="E376" s="340"/>
      <c r="F376" s="341"/>
      <c r="G376" s="334"/>
      <c r="H376" s="342"/>
      <c r="I376" s="29"/>
      <c r="J376" s="29"/>
      <c r="K376" s="29"/>
      <c r="L376" s="18"/>
      <c r="M376" s="336"/>
      <c r="N376" s="356"/>
      <c r="O376" s="352"/>
      <c r="P376" s="4"/>
      <c r="Q376" s="2"/>
      <c r="R376" s="354"/>
      <c r="S376" s="346"/>
      <c r="T376" s="346"/>
      <c r="U376" s="338"/>
      <c r="V376" s="2"/>
      <c r="W376" s="2"/>
    </row>
    <row r="377" spans="3:23" s="12" customFormat="1" ht="18.75">
      <c r="C377" s="331"/>
      <c r="D377" s="339"/>
      <c r="E377" s="340"/>
      <c r="F377" s="341"/>
      <c r="G377" s="334"/>
      <c r="H377" s="342"/>
      <c r="I377" s="29"/>
      <c r="J377" s="29"/>
      <c r="K377" s="29"/>
      <c r="L377" s="18"/>
      <c r="M377" s="359"/>
      <c r="N377" s="356"/>
      <c r="O377" s="15"/>
      <c r="P377" s="4"/>
      <c r="Q377" s="360"/>
      <c r="R377" s="354"/>
      <c r="S377" s="346"/>
      <c r="T377" s="346"/>
      <c r="U377" s="338"/>
      <c r="V377" s="2"/>
      <c r="W377" s="2"/>
    </row>
    <row r="378" spans="3:23" s="12" customFormat="1" ht="18.75">
      <c r="C378" s="331"/>
      <c r="D378" s="332"/>
      <c r="E378" s="358"/>
      <c r="F378" s="341"/>
      <c r="G378" s="334"/>
      <c r="H378" s="342"/>
      <c r="I378" s="333"/>
      <c r="J378" s="333"/>
      <c r="K378" s="333"/>
      <c r="L378" s="361"/>
      <c r="M378" s="336"/>
      <c r="N378" s="337"/>
      <c r="O378" s="337"/>
      <c r="P378" s="335"/>
      <c r="R378" s="345"/>
      <c r="S378" s="346"/>
      <c r="T378" s="346"/>
      <c r="U378" s="338"/>
      <c r="V378" s="2"/>
      <c r="W378" s="2"/>
    </row>
    <row r="379" spans="3:23" s="12" customFormat="1" ht="18.75">
      <c r="C379" s="331"/>
      <c r="D379" s="339"/>
      <c r="E379" s="340"/>
      <c r="F379" s="341"/>
      <c r="G379" s="334"/>
      <c r="H379" s="342"/>
      <c r="I379" s="29"/>
      <c r="J379" s="29"/>
      <c r="K379" s="29"/>
      <c r="L379" s="343"/>
      <c r="M379" s="336"/>
      <c r="N379" s="356"/>
      <c r="O379" s="337"/>
      <c r="P379" s="333"/>
      <c r="R379" s="345"/>
      <c r="S379" s="346"/>
      <c r="T379" s="346"/>
      <c r="U379" s="338"/>
      <c r="V379" s="2"/>
      <c r="W379" s="2"/>
    </row>
    <row r="380" spans="3:23" s="12" customFormat="1" ht="18.75">
      <c r="C380" s="331"/>
      <c r="D380" s="339"/>
      <c r="E380" s="340"/>
      <c r="F380" s="341"/>
      <c r="G380" s="334"/>
      <c r="H380" s="342"/>
      <c r="I380" s="29"/>
      <c r="J380" s="29"/>
      <c r="K380" s="29"/>
      <c r="L380" s="343"/>
      <c r="M380" s="336"/>
      <c r="N380" s="356"/>
      <c r="O380" s="337"/>
      <c r="P380" s="333"/>
      <c r="R380" s="345"/>
      <c r="S380" s="346"/>
      <c r="T380" s="346"/>
      <c r="U380" s="338"/>
      <c r="V380" s="2"/>
      <c r="W380" s="2"/>
    </row>
    <row r="381" spans="3:23" s="11" customFormat="1" ht="18.75">
      <c r="C381" s="269"/>
      <c r="D381" s="361"/>
      <c r="E381" s="362"/>
      <c r="F381" s="342"/>
      <c r="G381" s="363"/>
      <c r="H381" s="342"/>
      <c r="I381" s="268"/>
      <c r="J381" s="268"/>
      <c r="K381" s="268"/>
      <c r="L381" s="361"/>
      <c r="M381" s="359"/>
      <c r="N381" s="364"/>
      <c r="O381" s="365"/>
      <c r="P381" s="366"/>
      <c r="Q381" s="367"/>
      <c r="R381" s="271"/>
      <c r="S381" s="19"/>
      <c r="T381" s="19"/>
      <c r="U381" s="19"/>
      <c r="V381" s="368"/>
      <c r="W381" s="368"/>
    </row>
    <row r="382" spans="3:23" s="12" customFormat="1" ht="18.75">
      <c r="C382" s="331"/>
      <c r="D382" s="339"/>
      <c r="E382" s="340"/>
      <c r="G382" s="334"/>
      <c r="H382" s="11"/>
      <c r="I382" s="29"/>
      <c r="J382" s="29"/>
      <c r="K382" s="29"/>
      <c r="L382" s="11"/>
      <c r="M382" s="336"/>
      <c r="N382" s="337"/>
      <c r="O382" s="337"/>
      <c r="T382" s="29"/>
      <c r="U382" s="4"/>
      <c r="V382" s="2"/>
      <c r="W382" s="2"/>
    </row>
    <row r="383" spans="3:23" s="369" customFormat="1" ht="18.75">
      <c r="C383" s="370"/>
      <c r="D383" s="371"/>
      <c r="E383" s="372"/>
      <c r="G383" s="373"/>
      <c r="I383" s="374"/>
      <c r="J383" s="374"/>
      <c r="K383" s="374"/>
      <c r="M383" s="375"/>
      <c r="N383" s="376"/>
      <c r="O383" s="377"/>
      <c r="P383" s="378"/>
      <c r="Q383" s="379"/>
      <c r="R383" s="380"/>
      <c r="S383" s="380"/>
      <c r="T383" s="381"/>
      <c r="U383" s="382"/>
      <c r="V383" s="383"/>
      <c r="W383" s="383"/>
    </row>
    <row r="384" spans="3:23" s="12" customFormat="1" ht="18.75">
      <c r="C384" s="18"/>
      <c r="D384" s="18"/>
      <c r="E384" s="368"/>
      <c r="F384" s="5"/>
      <c r="G384" s="384"/>
      <c r="H384" s="5"/>
      <c r="I384" s="4"/>
      <c r="J384" s="4"/>
      <c r="K384" s="4"/>
      <c r="L384" s="385"/>
      <c r="M384" s="386"/>
      <c r="N384" s="386"/>
      <c r="O384" s="386"/>
      <c r="P384" s="387"/>
      <c r="Q384" s="385"/>
      <c r="R384" s="388"/>
      <c r="S384" s="385"/>
      <c r="T384" s="4"/>
      <c r="U384" s="4"/>
      <c r="V384" s="2"/>
      <c r="W384" s="2"/>
    </row>
    <row r="385" spans="3:23" s="11" customFormat="1" ht="18.75">
      <c r="C385" s="269"/>
      <c r="D385" s="18"/>
      <c r="E385" s="368"/>
      <c r="F385" s="368"/>
      <c r="G385" s="384"/>
      <c r="H385" s="368"/>
      <c r="I385" s="6"/>
      <c r="J385" s="6"/>
      <c r="K385" s="6"/>
      <c r="L385" s="389"/>
      <c r="M385" s="390"/>
      <c r="N385" s="390"/>
      <c r="O385" s="391"/>
      <c r="P385" s="389"/>
      <c r="Q385" s="389"/>
      <c r="R385" s="390"/>
      <c r="S385" s="390"/>
      <c r="T385" s="390"/>
      <c r="U385" s="390"/>
      <c r="V385" s="368"/>
      <c r="W385" s="368"/>
    </row>
    <row r="386" spans="3:23" s="12" customFormat="1" ht="75" customHeight="1">
      <c r="C386" s="331"/>
      <c r="D386" s="18"/>
      <c r="E386" s="368"/>
      <c r="F386" s="368"/>
      <c r="G386" s="5"/>
      <c r="H386" s="368"/>
      <c r="I386" s="4"/>
      <c r="J386" s="4"/>
      <c r="K386" s="4"/>
      <c r="L386" s="389"/>
      <c r="M386" s="443"/>
      <c r="N386" s="443"/>
      <c r="O386" s="443"/>
      <c r="P386" s="389"/>
      <c r="Q386" s="389"/>
      <c r="R386" s="392"/>
      <c r="S386" s="389"/>
      <c r="T386" s="2"/>
      <c r="U386" s="2"/>
      <c r="V386" s="2"/>
      <c r="W386" s="2"/>
    </row>
    <row r="387" spans="3:23" s="12" customFormat="1" ht="69" customHeight="1">
      <c r="C387" s="3"/>
      <c r="D387" s="18"/>
      <c r="E387" s="368"/>
      <c r="F387" s="368"/>
      <c r="G387" s="5"/>
      <c r="H387" s="368"/>
      <c r="I387" s="4"/>
      <c r="J387" s="4"/>
      <c r="K387" s="4"/>
      <c r="L387" s="389"/>
      <c r="M387" s="389"/>
      <c r="N387" s="393"/>
      <c r="O387" s="389"/>
      <c r="P387" s="389"/>
      <c r="Q387" s="389"/>
      <c r="R387" s="389"/>
      <c r="S387" s="389"/>
      <c r="T387" s="2"/>
      <c r="U387" s="2"/>
      <c r="V387" s="2"/>
      <c r="W387" s="2"/>
    </row>
    <row r="388" spans="3:23" s="12" customFormat="1" ht="18.75">
      <c r="C388" s="18"/>
      <c r="D388" s="18"/>
      <c r="E388" s="368"/>
      <c r="F388" s="368"/>
      <c r="G388" s="5"/>
      <c r="H388" s="368"/>
      <c r="I388" s="4"/>
      <c r="J388" s="4"/>
      <c r="K388" s="4"/>
      <c r="L388" s="393"/>
      <c r="M388" s="393"/>
      <c r="N388" s="393"/>
      <c r="O388" s="393"/>
      <c r="P388" s="393"/>
      <c r="Q388" s="393"/>
      <c r="R388" s="385"/>
      <c r="S388" s="385"/>
      <c r="T388" s="2"/>
      <c r="U388" s="2"/>
      <c r="V388" s="2"/>
      <c r="W388" s="2"/>
    </row>
    <row r="389" spans="1:99" s="358" customFormat="1" ht="15.75" customHeight="1">
      <c r="A389" s="29"/>
      <c r="B389" s="12"/>
      <c r="C389" s="394"/>
      <c r="D389" s="395"/>
      <c r="E389" s="396"/>
      <c r="F389" s="396"/>
      <c r="G389" s="397"/>
      <c r="H389" s="398"/>
      <c r="I389" s="2"/>
      <c r="J389" s="2"/>
      <c r="K389" s="2"/>
      <c r="L389" s="367"/>
      <c r="M389" s="396"/>
      <c r="N389" s="2"/>
      <c r="O389" s="2"/>
      <c r="P389" s="2"/>
      <c r="Q389" s="399"/>
      <c r="R389" s="400"/>
      <c r="S389" s="12"/>
      <c r="T389" s="12"/>
      <c r="V389" s="401"/>
      <c r="W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</row>
    <row r="390" spans="1:99" s="358" customFormat="1" ht="15.75" customHeight="1">
      <c r="A390" s="29"/>
      <c r="B390" s="12"/>
      <c r="C390" s="394"/>
      <c r="D390" s="395"/>
      <c r="E390" s="396"/>
      <c r="F390" s="402"/>
      <c r="G390" s="397"/>
      <c r="H390" s="403"/>
      <c r="I390" s="404"/>
      <c r="J390" s="404"/>
      <c r="K390" s="404"/>
      <c r="L390" s="367"/>
      <c r="M390" s="396"/>
      <c r="N390" s="348"/>
      <c r="O390" s="2"/>
      <c r="P390" s="2"/>
      <c r="Q390" s="399"/>
      <c r="R390" s="400"/>
      <c r="S390" s="12"/>
      <c r="T390" s="12"/>
      <c r="V390" s="401"/>
      <c r="W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</row>
    <row r="391" spans="1:99" s="358" customFormat="1" ht="18.75">
      <c r="A391" s="29"/>
      <c r="B391" s="12"/>
      <c r="C391" s="3"/>
      <c r="D391" s="3"/>
      <c r="E391" s="2"/>
      <c r="F391" s="402"/>
      <c r="G391" s="397"/>
      <c r="H391" s="403"/>
      <c r="I391" s="404"/>
      <c r="J391" s="404"/>
      <c r="K391" s="404"/>
      <c r="L391" s="11"/>
      <c r="M391" s="2"/>
      <c r="N391" s="348"/>
      <c r="O391" s="2"/>
      <c r="P391" s="2"/>
      <c r="Q391" s="12"/>
      <c r="R391" s="12"/>
      <c r="S391" s="12"/>
      <c r="T391" s="12"/>
      <c r="V391" s="401"/>
      <c r="W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</row>
    <row r="392" spans="3:16" ht="18.75">
      <c r="C392" s="3"/>
      <c r="D392" s="3"/>
      <c r="E392" s="2"/>
      <c r="F392" s="402"/>
      <c r="G392" s="397"/>
      <c r="H392" s="403"/>
      <c r="I392" s="404"/>
      <c r="J392" s="404"/>
      <c r="K392" s="404"/>
      <c r="M392" s="2"/>
      <c r="N392" s="348"/>
      <c r="O392" s="2"/>
      <c r="P392" s="2"/>
    </row>
    <row r="393" spans="3:16" ht="18.75">
      <c r="C393" s="3"/>
      <c r="D393" s="3"/>
      <c r="E393" s="2"/>
      <c r="F393" s="402"/>
      <c r="G393" s="397"/>
      <c r="H393" s="403"/>
      <c r="I393" s="404"/>
      <c r="J393" s="404"/>
      <c r="K393" s="404"/>
      <c r="M393" s="2"/>
      <c r="N393" s="348"/>
      <c r="O393" s="2"/>
      <c r="P393" s="2"/>
    </row>
    <row r="394" spans="3:16" ht="18.75">
      <c r="C394" s="3"/>
      <c r="D394" s="3"/>
      <c r="E394" s="2"/>
      <c r="F394" s="402"/>
      <c r="G394" s="397"/>
      <c r="H394" s="403"/>
      <c r="I394" s="404"/>
      <c r="J394" s="404"/>
      <c r="K394" s="404"/>
      <c r="M394" s="2"/>
      <c r="N394" s="2"/>
      <c r="O394" s="2"/>
      <c r="P394" s="2"/>
    </row>
    <row r="395" spans="3:16" ht="18.75">
      <c r="C395" s="3"/>
      <c r="D395" s="405"/>
      <c r="E395" s="348"/>
      <c r="F395" s="402"/>
      <c r="G395" s="397"/>
      <c r="H395" s="403"/>
      <c r="I395" s="404"/>
      <c r="J395" s="404"/>
      <c r="K395" s="404"/>
      <c r="M395" s="2"/>
      <c r="N395" s="2"/>
      <c r="O395" s="2"/>
      <c r="P395" s="2"/>
    </row>
    <row r="396" spans="3:16" ht="18.75">
      <c r="C396" s="3"/>
      <c r="D396" s="3"/>
      <c r="E396" s="2"/>
      <c r="F396" s="402"/>
      <c r="G396" s="397"/>
      <c r="H396" s="403"/>
      <c r="I396" s="404"/>
      <c r="J396" s="404"/>
      <c r="K396" s="404"/>
      <c r="M396" s="2"/>
      <c r="N396" s="2"/>
      <c r="O396" s="2"/>
      <c r="P396" s="2"/>
    </row>
    <row r="397" spans="3:16" ht="18.75">
      <c r="C397" s="3"/>
      <c r="D397" s="3"/>
      <c r="E397" s="2"/>
      <c r="F397" s="4"/>
      <c r="G397" s="397"/>
      <c r="H397" s="6"/>
      <c r="I397" s="354"/>
      <c r="J397" s="354"/>
      <c r="K397" s="354"/>
      <c r="M397" s="2"/>
      <c r="N397" s="2"/>
      <c r="O397" s="2"/>
      <c r="P397" s="2"/>
    </row>
    <row r="398" spans="3:16" ht="18.75">
      <c r="C398" s="3"/>
      <c r="D398" s="3"/>
      <c r="E398" s="2"/>
      <c r="F398" s="4"/>
      <c r="G398" s="397"/>
      <c r="H398" s="6"/>
      <c r="I398" s="354"/>
      <c r="J398" s="354"/>
      <c r="K398" s="354"/>
      <c r="M398" s="2"/>
      <c r="N398" s="2"/>
      <c r="O398" s="2"/>
      <c r="P398" s="2"/>
    </row>
    <row r="399" spans="3:16" ht="18.75">
      <c r="C399" s="3"/>
      <c r="D399" s="3"/>
      <c r="E399" s="2"/>
      <c r="F399" s="4"/>
      <c r="G399" s="397"/>
      <c r="H399" s="6"/>
      <c r="I399" s="354"/>
      <c r="J399" s="354"/>
      <c r="K399" s="354"/>
      <c r="M399" s="2"/>
      <c r="N399" s="2"/>
      <c r="O399" s="2"/>
      <c r="P399" s="2"/>
    </row>
  </sheetData>
  <sheetProtection/>
  <autoFilter ref="A16:CU315"/>
  <mergeCells count="436">
    <mergeCell ref="C364:K364"/>
    <mergeCell ref="M386:O386"/>
    <mergeCell ref="C345:D345"/>
    <mergeCell ref="C346:D346"/>
    <mergeCell ref="C347:D347"/>
    <mergeCell ref="C351:K351"/>
    <mergeCell ref="C355:K355"/>
    <mergeCell ref="C359:K359"/>
    <mergeCell ref="C339:D339"/>
    <mergeCell ref="C340:D340"/>
    <mergeCell ref="C341:D341"/>
    <mergeCell ref="C342:D342"/>
    <mergeCell ref="C343:D343"/>
    <mergeCell ref="C344:D344"/>
    <mergeCell ref="C331:D331"/>
    <mergeCell ref="C332:D332"/>
    <mergeCell ref="C333:D333"/>
    <mergeCell ref="C334:D334"/>
    <mergeCell ref="C335:D335"/>
    <mergeCell ref="C336:D336"/>
    <mergeCell ref="C323:D323"/>
    <mergeCell ref="C325:D325"/>
    <mergeCell ref="C326:D326"/>
    <mergeCell ref="C327:D327"/>
    <mergeCell ref="C328:D328"/>
    <mergeCell ref="C330:D330"/>
    <mergeCell ref="C321:D321"/>
    <mergeCell ref="C322:D322"/>
    <mergeCell ref="S292:S293"/>
    <mergeCell ref="A301:S301"/>
    <mergeCell ref="B304:B308"/>
    <mergeCell ref="C304:C308"/>
    <mergeCell ref="B309:B313"/>
    <mergeCell ref="C309:C313"/>
    <mergeCell ref="H292:H293"/>
    <mergeCell ref="M292:M293"/>
    <mergeCell ref="N292:N293"/>
    <mergeCell ref="O292:O293"/>
    <mergeCell ref="Q292:Q293"/>
    <mergeCell ref="R292:R293"/>
    <mergeCell ref="A292:A293"/>
    <mergeCell ref="B292:B293"/>
    <mergeCell ref="C292:C293"/>
    <mergeCell ref="D292:D293"/>
    <mergeCell ref="G292:G293"/>
    <mergeCell ref="A314:C314"/>
    <mergeCell ref="C317:D317"/>
    <mergeCell ref="C319:D319"/>
    <mergeCell ref="C320:D320"/>
    <mergeCell ref="S283:S284"/>
    <mergeCell ref="A285:A286"/>
    <mergeCell ref="B285:B286"/>
    <mergeCell ref="C285:C286"/>
    <mergeCell ref="D285:D286"/>
    <mergeCell ref="G285:G286"/>
    <mergeCell ref="H285:H286"/>
    <mergeCell ref="M285:M286"/>
    <mergeCell ref="N285:N286"/>
    <mergeCell ref="O285:O286"/>
    <mergeCell ref="Q285:Q286"/>
    <mergeCell ref="R285:R286"/>
    <mergeCell ref="S285:S286"/>
    <mergeCell ref="A275:A277"/>
    <mergeCell ref="B275:B277"/>
    <mergeCell ref="C275:C277"/>
    <mergeCell ref="D275:D277"/>
    <mergeCell ref="E275:E277"/>
    <mergeCell ref="G275:G277"/>
    <mergeCell ref="S275:S277"/>
    <mergeCell ref="A283:A284"/>
    <mergeCell ref="B283:B284"/>
    <mergeCell ref="C283:C284"/>
    <mergeCell ref="D283:D284"/>
    <mergeCell ref="G283:G284"/>
    <mergeCell ref="H283:H284"/>
    <mergeCell ref="M283:M284"/>
    <mergeCell ref="N283:N284"/>
    <mergeCell ref="O283:O284"/>
    <mergeCell ref="H275:H277"/>
    <mergeCell ref="M275:M277"/>
    <mergeCell ref="N275:N277"/>
    <mergeCell ref="O275:O277"/>
    <mergeCell ref="Q275:Q277"/>
    <mergeCell ref="R275:R277"/>
    <mergeCell ref="Q283:Q284"/>
    <mergeCell ref="R283:R284"/>
    <mergeCell ref="R262:R263"/>
    <mergeCell ref="S262:S263"/>
    <mergeCell ref="A271:A272"/>
    <mergeCell ref="B271:B272"/>
    <mergeCell ref="C271:C272"/>
    <mergeCell ref="D271:D272"/>
    <mergeCell ref="G271:G272"/>
    <mergeCell ref="H271:H272"/>
    <mergeCell ref="M271:M272"/>
    <mergeCell ref="N271:N272"/>
    <mergeCell ref="A262:A263"/>
    <mergeCell ref="B262:B263"/>
    <mergeCell ref="C262:C263"/>
    <mergeCell ref="D262:D263"/>
    <mergeCell ref="O262:O263"/>
    <mergeCell ref="Q262:Q263"/>
    <mergeCell ref="O271:O272"/>
    <mergeCell ref="Q271:Q272"/>
    <mergeCell ref="R271:R272"/>
    <mergeCell ref="S271:S272"/>
    <mergeCell ref="M250:M252"/>
    <mergeCell ref="N250:N252"/>
    <mergeCell ref="O250:O252"/>
    <mergeCell ref="Q250:Q252"/>
    <mergeCell ref="R250:R252"/>
    <mergeCell ref="S250:S252"/>
    <mergeCell ref="A250:A252"/>
    <mergeCell ref="B250:B252"/>
    <mergeCell ref="C250:C252"/>
    <mergeCell ref="D250:D252"/>
    <mergeCell ref="G250:G252"/>
    <mergeCell ref="H250:H252"/>
    <mergeCell ref="M247:M248"/>
    <mergeCell ref="N247:N248"/>
    <mergeCell ref="O247:O248"/>
    <mergeCell ref="Q247:Q248"/>
    <mergeCell ref="R247:R248"/>
    <mergeCell ref="S247:S248"/>
    <mergeCell ref="A247:A248"/>
    <mergeCell ref="B247:B248"/>
    <mergeCell ref="C247:C248"/>
    <mergeCell ref="D247:D248"/>
    <mergeCell ref="G247:G248"/>
    <mergeCell ref="H247:H248"/>
    <mergeCell ref="A242:A243"/>
    <mergeCell ref="B242:B243"/>
    <mergeCell ref="C242:C243"/>
    <mergeCell ref="D242:D243"/>
    <mergeCell ref="N242:N243"/>
    <mergeCell ref="O242:O243"/>
    <mergeCell ref="Q242:Q243"/>
    <mergeCell ref="R242:R243"/>
    <mergeCell ref="S242:S243"/>
    <mergeCell ref="C219:D219"/>
    <mergeCell ref="C227:D227"/>
    <mergeCell ref="A229:A231"/>
    <mergeCell ref="B229:B231"/>
    <mergeCell ref="C229:C231"/>
    <mergeCell ref="D229:D231"/>
    <mergeCell ref="E229:E231"/>
    <mergeCell ref="G229:G231"/>
    <mergeCell ref="S229:S231"/>
    <mergeCell ref="H229:H231"/>
    <mergeCell ref="M229:M231"/>
    <mergeCell ref="N229:N231"/>
    <mergeCell ref="O229:O231"/>
    <mergeCell ref="Q229:Q231"/>
    <mergeCell ref="R229:R231"/>
    <mergeCell ref="C191:D191"/>
    <mergeCell ref="A195:A196"/>
    <mergeCell ref="B195:B196"/>
    <mergeCell ref="C195:C196"/>
    <mergeCell ref="D195:D196"/>
    <mergeCell ref="G195:G196"/>
    <mergeCell ref="S195:S196"/>
    <mergeCell ref="C198:D198"/>
    <mergeCell ref="A214:A215"/>
    <mergeCell ref="B214:B215"/>
    <mergeCell ref="C214:C215"/>
    <mergeCell ref="D214:D215"/>
    <mergeCell ref="E214:E215"/>
    <mergeCell ref="G214:G215"/>
    <mergeCell ref="H214:H215"/>
    <mergeCell ref="M214:M215"/>
    <mergeCell ref="H195:H196"/>
    <mergeCell ref="M195:M196"/>
    <mergeCell ref="N195:N196"/>
    <mergeCell ref="O195:O196"/>
    <mergeCell ref="Q195:Q196"/>
    <mergeCell ref="R195:R196"/>
    <mergeCell ref="N214:N215"/>
    <mergeCell ref="O214:O215"/>
    <mergeCell ref="C183:D183"/>
    <mergeCell ref="A187:A188"/>
    <mergeCell ref="B187:B188"/>
    <mergeCell ref="C187:C188"/>
    <mergeCell ref="D187:D188"/>
    <mergeCell ref="A143:S143"/>
    <mergeCell ref="C144:D144"/>
    <mergeCell ref="C145:D145"/>
    <mergeCell ref="C146:D146"/>
    <mergeCell ref="C150:D150"/>
    <mergeCell ref="C158:D158"/>
    <mergeCell ref="O187:O188"/>
    <mergeCell ref="Q187:Q188"/>
    <mergeCell ref="R187:R188"/>
    <mergeCell ref="S187:S188"/>
    <mergeCell ref="O134:O141"/>
    <mergeCell ref="Q134:Q141"/>
    <mergeCell ref="R134:R141"/>
    <mergeCell ref="S134:S141"/>
    <mergeCell ref="O131:O133"/>
    <mergeCell ref="Q131:Q133"/>
    <mergeCell ref="R131:R133"/>
    <mergeCell ref="S131:S133"/>
    <mergeCell ref="C169:D169"/>
    <mergeCell ref="A134:A141"/>
    <mergeCell ref="B134:B141"/>
    <mergeCell ref="C134:C141"/>
    <mergeCell ref="D134:D141"/>
    <mergeCell ref="G134:G141"/>
    <mergeCell ref="H134:H141"/>
    <mergeCell ref="S122:S126"/>
    <mergeCell ref="A131:A133"/>
    <mergeCell ref="B131:B133"/>
    <mergeCell ref="C131:C133"/>
    <mergeCell ref="D131:D133"/>
    <mergeCell ref="E131:E133"/>
    <mergeCell ref="G131:G133"/>
    <mergeCell ref="H131:H133"/>
    <mergeCell ref="M131:M133"/>
    <mergeCell ref="N131:N133"/>
    <mergeCell ref="H122:H126"/>
    <mergeCell ref="M122:M126"/>
    <mergeCell ref="N122:N126"/>
    <mergeCell ref="O122:O126"/>
    <mergeCell ref="Q122:Q126"/>
    <mergeCell ref="R122:R126"/>
    <mergeCell ref="M134:M141"/>
    <mergeCell ref="N134:N141"/>
    <mergeCell ref="Q117:Q118"/>
    <mergeCell ref="R117:R118"/>
    <mergeCell ref="S117:S118"/>
    <mergeCell ref="C119:D119"/>
    <mergeCell ref="A122:A126"/>
    <mergeCell ref="B122:B126"/>
    <mergeCell ref="C122:C126"/>
    <mergeCell ref="D122:D126"/>
    <mergeCell ref="E122:E125"/>
    <mergeCell ref="G122:G126"/>
    <mergeCell ref="B117:B118"/>
    <mergeCell ref="C117:C118"/>
    <mergeCell ref="D117:D118"/>
    <mergeCell ref="E117:E118"/>
    <mergeCell ref="G117:G118"/>
    <mergeCell ref="H117:H118"/>
    <mergeCell ref="M117:M118"/>
    <mergeCell ref="N117:N118"/>
    <mergeCell ref="O117:O118"/>
    <mergeCell ref="Q101:Q111"/>
    <mergeCell ref="R101:R111"/>
    <mergeCell ref="S101:S111"/>
    <mergeCell ref="A113:A114"/>
    <mergeCell ref="B113:B114"/>
    <mergeCell ref="C113:C114"/>
    <mergeCell ref="D113:D114"/>
    <mergeCell ref="G113:G114"/>
    <mergeCell ref="S113:S114"/>
    <mergeCell ref="H113:H114"/>
    <mergeCell ref="M113:M114"/>
    <mergeCell ref="N113:N114"/>
    <mergeCell ref="O113:O114"/>
    <mergeCell ref="Q113:Q114"/>
    <mergeCell ref="R113:R114"/>
    <mergeCell ref="A101:A111"/>
    <mergeCell ref="B101:B111"/>
    <mergeCell ref="C101:C111"/>
    <mergeCell ref="D101:D111"/>
    <mergeCell ref="G101:G111"/>
    <mergeCell ref="H101:H111"/>
    <mergeCell ref="M101:M111"/>
    <mergeCell ref="N101:N111"/>
    <mergeCell ref="O101:O111"/>
    <mergeCell ref="S92:S97"/>
    <mergeCell ref="A98:A99"/>
    <mergeCell ref="B98:B99"/>
    <mergeCell ref="C98:C99"/>
    <mergeCell ref="D98:D99"/>
    <mergeCell ref="G98:G99"/>
    <mergeCell ref="H98:H99"/>
    <mergeCell ref="M98:M99"/>
    <mergeCell ref="N98:N99"/>
    <mergeCell ref="O98:O99"/>
    <mergeCell ref="H92:H97"/>
    <mergeCell ref="M92:M97"/>
    <mergeCell ref="N92:N97"/>
    <mergeCell ref="O92:O97"/>
    <mergeCell ref="Q92:Q97"/>
    <mergeCell ref="R92:R97"/>
    <mergeCell ref="Q98:Q99"/>
    <mergeCell ref="R98:R99"/>
    <mergeCell ref="S98:S99"/>
    <mergeCell ref="Q77:Q80"/>
    <mergeCell ref="C88:D88"/>
    <mergeCell ref="A92:A97"/>
    <mergeCell ref="B92:B97"/>
    <mergeCell ref="C92:C97"/>
    <mergeCell ref="D92:D97"/>
    <mergeCell ref="G92:G97"/>
    <mergeCell ref="N81:N83"/>
    <mergeCell ref="O81:O83"/>
    <mergeCell ref="Q81:Q83"/>
    <mergeCell ref="C73:D73"/>
    <mergeCell ref="A77:A80"/>
    <mergeCell ref="B77:B80"/>
    <mergeCell ref="C77:C80"/>
    <mergeCell ref="D77:D80"/>
    <mergeCell ref="E77:E80"/>
    <mergeCell ref="R81:R83"/>
    <mergeCell ref="S81:S83"/>
    <mergeCell ref="C84:D84"/>
    <mergeCell ref="R77:R80"/>
    <mergeCell ref="S77:S80"/>
    <mergeCell ref="A81:A83"/>
    <mergeCell ref="B81:B83"/>
    <mergeCell ref="C81:C83"/>
    <mergeCell ref="D81:D83"/>
    <mergeCell ref="E81:E83"/>
    <mergeCell ref="G81:G83"/>
    <mergeCell ref="H81:H83"/>
    <mergeCell ref="M81:M83"/>
    <mergeCell ref="G77:G80"/>
    <mergeCell ref="H77:H80"/>
    <mergeCell ref="M77:M80"/>
    <mergeCell ref="N77:N80"/>
    <mergeCell ref="O77:O80"/>
    <mergeCell ref="S65:S66"/>
    <mergeCell ref="C67:D67"/>
    <mergeCell ref="A70:A71"/>
    <mergeCell ref="B70:B71"/>
    <mergeCell ref="C70:C71"/>
    <mergeCell ref="D70:D71"/>
    <mergeCell ref="G70:G71"/>
    <mergeCell ref="H70:H71"/>
    <mergeCell ref="M70:M71"/>
    <mergeCell ref="N70:N71"/>
    <mergeCell ref="O70:O71"/>
    <mergeCell ref="Q70:Q71"/>
    <mergeCell ref="R70:R71"/>
    <mergeCell ref="S70:S71"/>
    <mergeCell ref="A65:A66"/>
    <mergeCell ref="B65:B66"/>
    <mergeCell ref="C65:C66"/>
    <mergeCell ref="D65:D66"/>
    <mergeCell ref="N65:N66"/>
    <mergeCell ref="O65:O66"/>
    <mergeCell ref="Q65:Q66"/>
    <mergeCell ref="R65:R66"/>
    <mergeCell ref="G63:G64"/>
    <mergeCell ref="H63:H64"/>
    <mergeCell ref="M63:M64"/>
    <mergeCell ref="N63:N64"/>
    <mergeCell ref="O63:O64"/>
    <mergeCell ref="Q63:Q64"/>
    <mergeCell ref="C62:D62"/>
    <mergeCell ref="A63:A64"/>
    <mergeCell ref="B63:B64"/>
    <mergeCell ref="C63:C64"/>
    <mergeCell ref="D63:D64"/>
    <mergeCell ref="E63:E64"/>
    <mergeCell ref="Q54:Q55"/>
    <mergeCell ref="R54:R55"/>
    <mergeCell ref="C56:D56"/>
    <mergeCell ref="C57:D57"/>
    <mergeCell ref="A59:S59"/>
    <mergeCell ref="C60:D60"/>
    <mergeCell ref="E54:E55"/>
    <mergeCell ref="G54:G55"/>
    <mergeCell ref="H54:H55"/>
    <mergeCell ref="M54:M55"/>
    <mergeCell ref="N54:N55"/>
    <mergeCell ref="O54:O55"/>
    <mergeCell ref="R63:R64"/>
    <mergeCell ref="S63:S64"/>
    <mergeCell ref="C52:D52"/>
    <mergeCell ref="C53:D53"/>
    <mergeCell ref="A54:A55"/>
    <mergeCell ref="B54:B55"/>
    <mergeCell ref="C54:C55"/>
    <mergeCell ref="D54:D55"/>
    <mergeCell ref="Q41:Q42"/>
    <mergeCell ref="R41:R42"/>
    <mergeCell ref="S41:S42"/>
    <mergeCell ref="C49:D49"/>
    <mergeCell ref="C50:D50"/>
    <mergeCell ref="C51:D51"/>
    <mergeCell ref="A41:A42"/>
    <mergeCell ref="B41:B42"/>
    <mergeCell ref="C41:C42"/>
    <mergeCell ref="D41:D42"/>
    <mergeCell ref="N41:N42"/>
    <mergeCell ref="O41:O42"/>
    <mergeCell ref="C33:D33"/>
    <mergeCell ref="C36:D36"/>
    <mergeCell ref="C39:D39"/>
    <mergeCell ref="G24:G26"/>
    <mergeCell ref="H24:H26"/>
    <mergeCell ref="M24:M26"/>
    <mergeCell ref="N24:N26"/>
    <mergeCell ref="O24:O26"/>
    <mergeCell ref="Q24:Q26"/>
    <mergeCell ref="C23:D23"/>
    <mergeCell ref="A24:A26"/>
    <mergeCell ref="B24:B26"/>
    <mergeCell ref="C24:C26"/>
    <mergeCell ref="D24:D26"/>
    <mergeCell ref="E24:E25"/>
    <mergeCell ref="R24:R26"/>
    <mergeCell ref="S24:S26"/>
    <mergeCell ref="C29:D29"/>
    <mergeCell ref="A15:S15"/>
    <mergeCell ref="A20:A21"/>
    <mergeCell ref="B20:B21"/>
    <mergeCell ref="C20:C21"/>
    <mergeCell ref="D20:D21"/>
    <mergeCell ref="G20:G21"/>
    <mergeCell ref="H20:H21"/>
    <mergeCell ref="M20:M21"/>
    <mergeCell ref="N20:N21"/>
    <mergeCell ref="O20:O21"/>
    <mergeCell ref="Q20:Q21"/>
    <mergeCell ref="R20:R21"/>
    <mergeCell ref="S20:S21"/>
    <mergeCell ref="A9:CO9"/>
    <mergeCell ref="A10:CO10"/>
    <mergeCell ref="A12:A13"/>
    <mergeCell ref="B12:B13"/>
    <mergeCell ref="C12:D12"/>
    <mergeCell ref="E12:E13"/>
    <mergeCell ref="G12:G13"/>
    <mergeCell ref="H12:H13"/>
    <mergeCell ref="I12:K12"/>
    <mergeCell ref="L12:L13"/>
    <mergeCell ref="CH12:CO12"/>
    <mergeCell ref="M12:M13"/>
    <mergeCell ref="N12:N13"/>
    <mergeCell ref="O12:O13"/>
    <mergeCell ref="Q12:Q13"/>
    <mergeCell ref="R12:R13"/>
    <mergeCell ref="S12:S13"/>
  </mergeCells>
  <printOptions horizontalCentered="1"/>
  <pageMargins left="0.39370078740157477" right="0.39370078740157477" top="1.1618110236220474" bottom="0.5106299212598426" header="0.8661417322834646" footer="0.15748031496062992"/>
  <pageSetup fitToHeight="0" fitToWidth="0" orientation="landscape" pageOrder="overThenDown" paperSize="9"/>
  <headerFooter alignWithMargins="0">
    <oddFooter>&amp;C&amp;10&amp;P</oddFooter>
  </headerFooter>
  <rowBreaks count="2" manualBreakCount="2">
    <brk id="147" max="0" man="1"/>
    <brk id="28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В.Лялина</dc:creator>
  <cp:keywords/>
  <dc:description/>
  <cp:lastModifiedBy>Maksim Abramov</cp:lastModifiedBy>
  <cp:lastPrinted>2018-10-04T15:48:28Z</cp:lastPrinted>
  <dcterms:created xsi:type="dcterms:W3CDTF">2014-07-04T12:31:49Z</dcterms:created>
  <dcterms:modified xsi:type="dcterms:W3CDTF">2019-11-22T08:11:12Z</dcterms:modified>
  <cp:category/>
  <cp:version/>
  <cp:contentType/>
  <cp:contentStatus/>
</cp:coreProperties>
</file>